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Jirka\zahrady_2025\Hrubšice\K ODEVZDÁNÍ NA ÚŘAD\"/>
    </mc:Choice>
  </mc:AlternateContent>
  <xr:revisionPtr revIDLastSave="0" documentId="13_ncr:1_{F600CFE4-6E88-44D6-9E25-C9D87CC33ACD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Rozpočet - vybrané sloupce" sheetId="1" r:id="rId1"/>
    <sheet name="Krycí list rozpočtu" sheetId="2" r:id="rId2"/>
    <sheet name="VORN" sheetId="3" state="hidden" r:id="rId3"/>
    <sheet name="Stavební rozpočet" sheetId="4" state="hidden" r:id="rId4"/>
  </sheets>
  <definedNames>
    <definedName name="vorn_sum">VORN!$I$36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" i="1" l="1"/>
  <c r="BW67" i="4"/>
  <c r="AK67" i="4"/>
  <c r="AJ67" i="4"/>
  <c r="AG67" i="4"/>
  <c r="AF67" i="4"/>
  <c r="AE67" i="4"/>
  <c r="AD67" i="4"/>
  <c r="AC67" i="4"/>
  <c r="AB67" i="4"/>
  <c r="Z67" i="4"/>
  <c r="H67" i="4"/>
  <c r="BD67" i="4" s="1"/>
  <c r="G67" i="4"/>
  <c r="BW65" i="4"/>
  <c r="BD65" i="4"/>
  <c r="AK65" i="4"/>
  <c r="AJ65" i="4"/>
  <c r="AG65" i="4"/>
  <c r="AF65" i="4"/>
  <c r="AE65" i="4"/>
  <c r="AD65" i="4"/>
  <c r="AC65" i="4"/>
  <c r="AB65" i="4"/>
  <c r="Z65" i="4"/>
  <c r="O65" i="4"/>
  <c r="BF65" i="4" s="1"/>
  <c r="H65" i="4"/>
  <c r="AP65" i="4" s="1"/>
  <c r="G65" i="4"/>
  <c r="BW63" i="4"/>
  <c r="BF63" i="4"/>
  <c r="AK63" i="4"/>
  <c r="AJ63" i="4"/>
  <c r="AG63" i="4"/>
  <c r="AF63" i="4"/>
  <c r="AE63" i="4"/>
  <c r="AD63" i="4"/>
  <c r="AC63" i="4"/>
  <c r="AB63" i="4"/>
  <c r="Z63" i="4"/>
  <c r="O63" i="4"/>
  <c r="H63" i="4"/>
  <c r="AO63" i="4" s="1"/>
  <c r="G63" i="4"/>
  <c r="BW61" i="4"/>
  <c r="BF61" i="4"/>
  <c r="AK61" i="4"/>
  <c r="AJ61" i="4"/>
  <c r="AG61" i="4"/>
  <c r="AF61" i="4"/>
  <c r="AE61" i="4"/>
  <c r="AD61" i="4"/>
  <c r="AC61" i="4"/>
  <c r="AB61" i="4"/>
  <c r="Z61" i="4"/>
  <c r="O61" i="4"/>
  <c r="H61" i="4"/>
  <c r="L61" i="4" s="1"/>
  <c r="G61" i="4"/>
  <c r="BW59" i="4"/>
  <c r="BF59" i="4"/>
  <c r="AK59" i="4"/>
  <c r="AJ59" i="4"/>
  <c r="AG59" i="4"/>
  <c r="AF59" i="4"/>
  <c r="AE59" i="4"/>
  <c r="AD59" i="4"/>
  <c r="AC59" i="4"/>
  <c r="AB59" i="4"/>
  <c r="Z59" i="4"/>
  <c r="O59" i="4"/>
  <c r="H59" i="4"/>
  <c r="AP59" i="4" s="1"/>
  <c r="AX59" i="4" s="1"/>
  <c r="G59" i="4"/>
  <c r="BW57" i="4"/>
  <c r="AK57" i="4"/>
  <c r="AJ57" i="4"/>
  <c r="AG57" i="4"/>
  <c r="AF57" i="4"/>
  <c r="AE57" i="4"/>
  <c r="AD57" i="4"/>
  <c r="AC57" i="4"/>
  <c r="AB57" i="4"/>
  <c r="Z57" i="4"/>
  <c r="O57" i="4"/>
  <c r="BF57" i="4" s="1"/>
  <c r="H57" i="4"/>
  <c r="AP57" i="4" s="1"/>
  <c r="G57" i="4"/>
  <c r="BW54" i="4"/>
  <c r="AK54" i="4"/>
  <c r="AT53" i="4" s="1"/>
  <c r="AJ54" i="4"/>
  <c r="AS53" i="4" s="1"/>
  <c r="AH54" i="4"/>
  <c r="AG54" i="4"/>
  <c r="AF54" i="4"/>
  <c r="AE54" i="4"/>
  <c r="AD54" i="4"/>
  <c r="AC54" i="4"/>
  <c r="AB54" i="4"/>
  <c r="H54" i="4"/>
  <c r="BD54" i="4" s="1"/>
  <c r="G54" i="4"/>
  <c r="BW52" i="4"/>
  <c r="AK52" i="4"/>
  <c r="AT51" i="4" s="1"/>
  <c r="AJ52" i="4"/>
  <c r="AS51" i="4" s="1"/>
  <c r="AH52" i="4"/>
  <c r="AG52" i="4"/>
  <c r="AF52" i="4"/>
  <c r="AE52" i="4"/>
  <c r="AD52" i="4"/>
  <c r="Z52" i="4"/>
  <c r="H52" i="4"/>
  <c r="BD52" i="4" s="1"/>
  <c r="G52" i="4"/>
  <c r="BJ52" i="4" s="1"/>
  <c r="BW49" i="4"/>
  <c r="AK49" i="4"/>
  <c r="AJ49" i="4"/>
  <c r="AH49" i="4"/>
  <c r="AG49" i="4"/>
  <c r="AF49" i="4"/>
  <c r="AE49" i="4"/>
  <c r="AD49" i="4"/>
  <c r="Z49" i="4"/>
  <c r="H49" i="4"/>
  <c r="AP49" i="4" s="1"/>
  <c r="G49" i="4"/>
  <c r="BW47" i="4"/>
  <c r="AK47" i="4"/>
  <c r="AJ47" i="4"/>
  <c r="AH47" i="4"/>
  <c r="AG47" i="4"/>
  <c r="AF47" i="4"/>
  <c r="AE47" i="4"/>
  <c r="AD47" i="4"/>
  <c r="Z47" i="4"/>
  <c r="H47" i="4"/>
  <c r="AP47" i="4" s="1"/>
  <c r="G47" i="4"/>
  <c r="BW41" i="4"/>
  <c r="BJ41" i="4"/>
  <c r="Z41" i="4" s="1"/>
  <c r="BF41" i="4"/>
  <c r="AK41" i="4"/>
  <c r="AT40" i="4" s="1"/>
  <c r="AJ41" i="4"/>
  <c r="AS40" i="4" s="1"/>
  <c r="AH41" i="4"/>
  <c r="AG41" i="4"/>
  <c r="AF41" i="4"/>
  <c r="AE41" i="4"/>
  <c r="AD41" i="4"/>
  <c r="AC41" i="4"/>
  <c r="AB41" i="4"/>
  <c r="O41" i="4"/>
  <c r="H41" i="4"/>
  <c r="BD41" i="4" s="1"/>
  <c r="G41" i="4"/>
  <c r="O40" i="4"/>
  <c r="BW38" i="4"/>
  <c r="AK38" i="4"/>
  <c r="AT37" i="4" s="1"/>
  <c r="AJ38" i="4"/>
  <c r="AS37" i="4" s="1"/>
  <c r="AH38" i="4"/>
  <c r="AE38" i="4"/>
  <c r="AD38" i="4"/>
  <c r="AC38" i="4"/>
  <c r="AB38" i="4"/>
  <c r="Z38" i="4"/>
  <c r="H38" i="4"/>
  <c r="AP38" i="4" s="1"/>
  <c r="G38" i="4"/>
  <c r="BW34" i="4"/>
  <c r="AK34" i="4"/>
  <c r="AT33" i="4" s="1"/>
  <c r="AJ34" i="4"/>
  <c r="AH34" i="4"/>
  <c r="AG34" i="4"/>
  <c r="AF34" i="4"/>
  <c r="AE34" i="4"/>
  <c r="AD34" i="4"/>
  <c r="AC34" i="4"/>
  <c r="AB34" i="4"/>
  <c r="O34" i="4"/>
  <c r="BF34" i="4" s="1"/>
  <c r="H34" i="4"/>
  <c r="BD34" i="4" s="1"/>
  <c r="G34" i="4"/>
  <c r="AS33" i="4"/>
  <c r="BW31" i="4"/>
  <c r="BF31" i="4"/>
  <c r="AK31" i="4"/>
  <c r="AT30" i="4" s="1"/>
  <c r="AJ31" i="4"/>
  <c r="AS30" i="4" s="1"/>
  <c r="AH31" i="4"/>
  <c r="AG31" i="4"/>
  <c r="AF31" i="4"/>
  <c r="AE31" i="4"/>
  <c r="AD31" i="4"/>
  <c r="Z31" i="4"/>
  <c r="O31" i="4"/>
  <c r="H31" i="4"/>
  <c r="AO31" i="4" s="1"/>
  <c r="J31" i="4" s="1"/>
  <c r="J30" i="4" s="1"/>
  <c r="G31" i="4"/>
  <c r="O30" i="4"/>
  <c r="BW27" i="4"/>
  <c r="BF27" i="4"/>
  <c r="AK27" i="4"/>
  <c r="AT26" i="4" s="1"/>
  <c r="AJ27" i="4"/>
  <c r="AS26" i="4" s="1"/>
  <c r="AH27" i="4"/>
  <c r="AG27" i="4"/>
  <c r="AF27" i="4"/>
  <c r="AE27" i="4"/>
  <c r="AD27" i="4"/>
  <c r="Z27" i="4"/>
  <c r="O27" i="4"/>
  <c r="H27" i="4"/>
  <c r="L27" i="4" s="1"/>
  <c r="G27" i="4"/>
  <c r="O26" i="4"/>
  <c r="BW24" i="4"/>
  <c r="AK24" i="4"/>
  <c r="AT23" i="4" s="1"/>
  <c r="AJ24" i="4"/>
  <c r="AH24" i="4"/>
  <c r="AG24" i="4"/>
  <c r="AF24" i="4"/>
  <c r="AE24" i="4"/>
  <c r="AD24" i="4"/>
  <c r="Z24" i="4"/>
  <c r="H24" i="4"/>
  <c r="L24" i="4" s="1"/>
  <c r="L23" i="4" s="1"/>
  <c r="G24" i="4"/>
  <c r="AS23" i="4"/>
  <c r="BW21" i="4"/>
  <c r="AK21" i="4"/>
  <c r="AJ21" i="4"/>
  <c r="AS20" i="4" s="1"/>
  <c r="AH21" i="4"/>
  <c r="AG21" i="4"/>
  <c r="AF21" i="4"/>
  <c r="AE21" i="4"/>
  <c r="AD21" i="4"/>
  <c r="Z21" i="4"/>
  <c r="H21" i="4"/>
  <c r="AO21" i="4" s="1"/>
  <c r="BH21" i="4" s="1"/>
  <c r="AB21" i="4" s="1"/>
  <c r="G21" i="4"/>
  <c r="AT20" i="4"/>
  <c r="BW18" i="4"/>
  <c r="AP18" i="4"/>
  <c r="K18" i="4" s="1"/>
  <c r="K17" i="4" s="1"/>
  <c r="AK18" i="4"/>
  <c r="AT17" i="4" s="1"/>
  <c r="AJ18" i="4"/>
  <c r="AS17" i="4" s="1"/>
  <c r="AH18" i="4"/>
  <c r="AG18" i="4"/>
  <c r="AF18" i="4"/>
  <c r="AE18" i="4"/>
  <c r="AD18" i="4"/>
  <c r="Z18" i="4"/>
  <c r="H18" i="4"/>
  <c r="BD18" i="4" s="1"/>
  <c r="G18" i="4"/>
  <c r="BW14" i="4"/>
  <c r="BF14" i="4"/>
  <c r="AK14" i="4"/>
  <c r="AT13" i="4" s="1"/>
  <c r="AJ14" i="4"/>
  <c r="AS13" i="4" s="1"/>
  <c r="AH14" i="4"/>
  <c r="AG14" i="4"/>
  <c r="AF14" i="4"/>
  <c r="AE14" i="4"/>
  <c r="AD14" i="4"/>
  <c r="Z14" i="4"/>
  <c r="O14" i="4"/>
  <c r="O13" i="4" s="1"/>
  <c r="H14" i="4"/>
  <c r="BD14" i="4" s="1"/>
  <c r="G14" i="4"/>
  <c r="AU1" i="4"/>
  <c r="AT1" i="4"/>
  <c r="AS1" i="4"/>
  <c r="I36" i="3"/>
  <c r="I35" i="3"/>
  <c r="I26" i="3"/>
  <c r="I25" i="3"/>
  <c r="I18" i="2" s="1"/>
  <c r="I24" i="3"/>
  <c r="I17" i="2" s="1"/>
  <c r="I23" i="3"/>
  <c r="I22" i="3"/>
  <c r="I21" i="3"/>
  <c r="I14" i="2" s="1"/>
  <c r="I22" i="2" s="1"/>
  <c r="I17" i="3"/>
  <c r="F16" i="2" s="1"/>
  <c r="I16" i="3"/>
  <c r="I15" i="3"/>
  <c r="I18" i="3" s="1"/>
  <c r="I10" i="3"/>
  <c r="F10" i="3"/>
  <c r="C10" i="3"/>
  <c r="F8" i="3"/>
  <c r="C8" i="3"/>
  <c r="F6" i="3"/>
  <c r="C6" i="3"/>
  <c r="F4" i="3"/>
  <c r="C4" i="3"/>
  <c r="F2" i="3"/>
  <c r="C2" i="3"/>
  <c r="I24" i="2"/>
  <c r="I19" i="2"/>
  <c r="I16" i="2"/>
  <c r="I15" i="2"/>
  <c r="F15" i="2"/>
  <c r="F14" i="2"/>
  <c r="F22" i="2" s="1"/>
  <c r="I10" i="2"/>
  <c r="F10" i="2"/>
  <c r="C10" i="2"/>
  <c r="F8" i="2"/>
  <c r="C8" i="2"/>
  <c r="F6" i="2"/>
  <c r="C6" i="2"/>
  <c r="C4" i="2"/>
  <c r="IS63" i="1"/>
  <c r="IR63" i="1"/>
  <c r="J63" i="1" s="1"/>
  <c r="IS61" i="1"/>
  <c r="IR61" i="1"/>
  <c r="J61" i="1"/>
  <c r="IS59" i="1"/>
  <c r="IR59" i="1"/>
  <c r="IS57" i="1"/>
  <c r="IR57" i="1"/>
  <c r="J57" i="1" s="1"/>
  <c r="IS55" i="1"/>
  <c r="IR55" i="1"/>
  <c r="IS53" i="1"/>
  <c r="IR53" i="1"/>
  <c r="IS50" i="1"/>
  <c r="IR50" i="1"/>
  <c r="J50" i="1" s="1"/>
  <c r="J49" i="1" s="1"/>
  <c r="IS48" i="1"/>
  <c r="IR48" i="1"/>
  <c r="J48" i="1" s="1"/>
  <c r="J47" i="1" s="1"/>
  <c r="IS45" i="1"/>
  <c r="IR45" i="1"/>
  <c r="J45" i="1" s="1"/>
  <c r="IS43" i="1"/>
  <c r="IR43" i="1"/>
  <c r="IS38" i="1"/>
  <c r="IR38" i="1"/>
  <c r="J38" i="1"/>
  <c r="J37" i="1" s="1"/>
  <c r="IS35" i="1"/>
  <c r="IR35" i="1"/>
  <c r="IS32" i="1"/>
  <c r="IR32" i="1"/>
  <c r="J32" i="1" s="1"/>
  <c r="J31" i="1" s="1"/>
  <c r="IS29" i="1"/>
  <c r="J29" i="1" s="1"/>
  <c r="J28" i="1" s="1"/>
  <c r="IR29" i="1"/>
  <c r="IS25" i="1"/>
  <c r="IR25" i="1"/>
  <c r="J25" i="1" s="1"/>
  <c r="J24" i="1" s="1"/>
  <c r="IS22" i="1"/>
  <c r="IR22" i="1"/>
  <c r="IS19" i="1"/>
  <c r="IR19" i="1"/>
  <c r="J19" i="1" s="1"/>
  <c r="J18" i="1" s="1"/>
  <c r="IS16" i="1"/>
  <c r="IR16" i="1"/>
  <c r="IS13" i="1"/>
  <c r="IR13" i="1"/>
  <c r="J13" i="1" s="1"/>
  <c r="J12" i="1" s="1"/>
  <c r="I8" i="1"/>
  <c r="G8" i="1"/>
  <c r="D8" i="1"/>
  <c r="I6" i="1"/>
  <c r="G6" i="1"/>
  <c r="D6" i="1"/>
  <c r="D4" i="1"/>
  <c r="G2" i="1"/>
  <c r="BJ67" i="4" l="1"/>
  <c r="AH67" i="4" s="1"/>
  <c r="BJ65" i="4"/>
  <c r="AH65" i="4" s="1"/>
  <c r="J59" i="1"/>
  <c r="J55" i="1"/>
  <c r="L57" i="4"/>
  <c r="M57" i="4" s="1"/>
  <c r="AO57" i="4"/>
  <c r="J57" i="4" s="1"/>
  <c r="AS46" i="4"/>
  <c r="AT46" i="4"/>
  <c r="J43" i="1"/>
  <c r="J42" i="1" s="1"/>
  <c r="K47" i="4"/>
  <c r="J35" i="1"/>
  <c r="J34" i="1" s="1"/>
  <c r="L38" i="4"/>
  <c r="BJ34" i="4"/>
  <c r="Z34" i="4" s="1"/>
  <c r="BD31" i="4"/>
  <c r="BJ31" i="4"/>
  <c r="AO24" i="4"/>
  <c r="AP24" i="4"/>
  <c r="BI24" i="4" s="1"/>
  <c r="AC24" i="4" s="1"/>
  <c r="BJ24" i="4"/>
  <c r="BD24" i="4"/>
  <c r="J22" i="1"/>
  <c r="J21" i="1" s="1"/>
  <c r="J11" i="1" s="1"/>
  <c r="AP21" i="4"/>
  <c r="AX18" i="4"/>
  <c r="J16" i="1"/>
  <c r="J15" i="1" s="1"/>
  <c r="L18" i="4"/>
  <c r="AL18" i="4" s="1"/>
  <c r="AU17" i="4" s="1"/>
  <c r="BJ14" i="4"/>
  <c r="L65" i="4"/>
  <c r="M65" i="4" s="1"/>
  <c r="AO27" i="4"/>
  <c r="AW27" i="4" s="1"/>
  <c r="BC27" i="4" s="1"/>
  <c r="AP27" i="4"/>
  <c r="AX27" i="4" s="1"/>
  <c r="AO34" i="4"/>
  <c r="AP34" i="4"/>
  <c r="BH34" i="4"/>
  <c r="BJ63" i="4"/>
  <c r="AH63" i="4" s="1"/>
  <c r="L63" i="4"/>
  <c r="M63" i="4" s="1"/>
  <c r="AP63" i="4"/>
  <c r="BD63" i="4"/>
  <c r="AO61" i="4"/>
  <c r="AS56" i="4"/>
  <c r="BD61" i="4"/>
  <c r="L59" i="4"/>
  <c r="M59" i="4" s="1"/>
  <c r="AT56" i="4"/>
  <c r="C16" i="2"/>
  <c r="C17" i="2"/>
  <c r="J53" i="1"/>
  <c r="J52" i="1" s="1"/>
  <c r="J41" i="1" s="1"/>
  <c r="AW57" i="4"/>
  <c r="BJ57" i="4"/>
  <c r="AH57" i="4" s="1"/>
  <c r="M61" i="4"/>
  <c r="AL61" i="4"/>
  <c r="J63" i="4"/>
  <c r="J21" i="4"/>
  <c r="J20" i="4" s="1"/>
  <c r="BH63" i="4"/>
  <c r="AW63" i="4"/>
  <c r="L37" i="4"/>
  <c r="M38" i="4"/>
  <c r="M37" i="4" s="1"/>
  <c r="AL38" i="4"/>
  <c r="AU37" i="4" s="1"/>
  <c r="AL65" i="4"/>
  <c r="BI65" i="4"/>
  <c r="AX65" i="4"/>
  <c r="M27" i="4"/>
  <c r="M26" i="4" s="1"/>
  <c r="AL27" i="4"/>
  <c r="AU26" i="4" s="1"/>
  <c r="L26" i="4"/>
  <c r="AW49" i="4"/>
  <c r="BH31" i="4"/>
  <c r="AB31" i="4" s="1"/>
  <c r="K57" i="4"/>
  <c r="BI57" i="4"/>
  <c r="AX57" i="4"/>
  <c r="I27" i="3"/>
  <c r="F29" i="3" s="1"/>
  <c r="K21" i="4"/>
  <c r="K20" i="4" s="1"/>
  <c r="L17" i="4"/>
  <c r="O33" i="4"/>
  <c r="AX38" i="4"/>
  <c r="BI18" i="4"/>
  <c r="AC18" i="4" s="1"/>
  <c r="AW21" i="4"/>
  <c r="AP31" i="4"/>
  <c r="O47" i="4"/>
  <c r="AX47" i="4"/>
  <c r="BD49" i="4"/>
  <c r="AO52" i="4"/>
  <c r="J52" i="4" s="1"/>
  <c r="J51" i="4" s="1"/>
  <c r="BJ54" i="4"/>
  <c r="Z54" i="4" s="1"/>
  <c r="C21" i="2" s="1"/>
  <c r="BD59" i="4"/>
  <c r="BH61" i="4"/>
  <c r="AW38" i="4"/>
  <c r="L21" i="4"/>
  <c r="C28" i="2"/>
  <c r="F28" i="2" s="1"/>
  <c r="AO41" i="4"/>
  <c r="BH41" i="4" s="1"/>
  <c r="K52" i="4"/>
  <c r="K51" i="4" s="1"/>
  <c r="AP52" i="4"/>
  <c r="BI52" i="4" s="1"/>
  <c r="AC52" i="4" s="1"/>
  <c r="M18" i="4"/>
  <c r="M17" i="4" s="1"/>
  <c r="AO49" i="4"/>
  <c r="J49" i="4" s="1"/>
  <c r="AX49" i="4"/>
  <c r="C27" i="2"/>
  <c r="O38" i="4"/>
  <c r="AO14" i="4"/>
  <c r="BH14" i="4" s="1"/>
  <c r="AB14" i="4" s="1"/>
  <c r="BJ18" i="4"/>
  <c r="O21" i="4"/>
  <c r="AX21" i="4"/>
  <c r="L31" i="4"/>
  <c r="BD38" i="4"/>
  <c r="AP14" i="4"/>
  <c r="K14" i="4" s="1"/>
  <c r="K13" i="4" s="1"/>
  <c r="AL24" i="4"/>
  <c r="AU23" i="4" s="1"/>
  <c r="AW31" i="4"/>
  <c r="AP41" i="4"/>
  <c r="K41" i="4" s="1"/>
  <c r="K40" i="4" s="1"/>
  <c r="BD47" i="4"/>
  <c r="L52" i="4"/>
  <c r="BD57" i="4"/>
  <c r="BJ61" i="4"/>
  <c r="AH61" i="4" s="1"/>
  <c r="AO67" i="4"/>
  <c r="BH67" i="4" s="1"/>
  <c r="BI59" i="4"/>
  <c r="AP67" i="4"/>
  <c r="AX67" i="4" s="1"/>
  <c r="L47" i="4"/>
  <c r="O49" i="4"/>
  <c r="BF49" i="4" s="1"/>
  <c r="BD27" i="4"/>
  <c r="L14" i="4"/>
  <c r="BD21" i="4"/>
  <c r="BJ27" i="4"/>
  <c r="BH38" i="4"/>
  <c r="AF38" i="4" s="1"/>
  <c r="C18" i="2" s="1"/>
  <c r="L41" i="4"/>
  <c r="BI49" i="4"/>
  <c r="AC49" i="4" s="1"/>
  <c r="K24" i="4"/>
  <c r="K23" i="4" s="1"/>
  <c r="BI38" i="4"/>
  <c r="AG38" i="4" s="1"/>
  <c r="C19" i="2" s="1"/>
  <c r="BJ49" i="4"/>
  <c r="O52" i="4"/>
  <c r="AX52" i="4"/>
  <c r="BJ59" i="4"/>
  <c r="AH59" i="4" s="1"/>
  <c r="AO65" i="4"/>
  <c r="L67" i="4"/>
  <c r="AL63" i="4"/>
  <c r="K65" i="4"/>
  <c r="O67" i="4"/>
  <c r="BJ38" i="4"/>
  <c r="BI47" i="4"/>
  <c r="AC47" i="4" s="1"/>
  <c r="BI21" i="4"/>
  <c r="AC21" i="4" s="1"/>
  <c r="M24" i="4"/>
  <c r="M23" i="4" s="1"/>
  <c r="BJ47" i="4"/>
  <c r="AO54" i="4"/>
  <c r="AO18" i="4"/>
  <c r="AW18" i="4" s="1"/>
  <c r="BJ21" i="4"/>
  <c r="O24" i="4"/>
  <c r="AX24" i="4"/>
  <c r="L34" i="4"/>
  <c r="AP54" i="4"/>
  <c r="K54" i="4" s="1"/>
  <c r="K53" i="4" s="1"/>
  <c r="BH52" i="4"/>
  <c r="AB52" i="4" s="1"/>
  <c r="L54" i="4"/>
  <c r="AL59" i="4"/>
  <c r="AP61" i="4"/>
  <c r="O54" i="4"/>
  <c r="AX54" i="4"/>
  <c r="AO59" i="4"/>
  <c r="AW59" i="4" s="1"/>
  <c r="AL57" i="4"/>
  <c r="K59" i="4"/>
  <c r="O18" i="4"/>
  <c r="AO38" i="4"/>
  <c r="J38" i="4" s="1"/>
  <c r="J37" i="4" s="1"/>
  <c r="K49" i="4"/>
  <c r="K46" i="4" s="1"/>
  <c r="K38" i="4"/>
  <c r="K37" i="4" s="1"/>
  <c r="AO47" i="4"/>
  <c r="J47" i="4" s="1"/>
  <c r="J46" i="4" s="1"/>
  <c r="L49" i="4"/>
  <c r="BH54" i="4"/>
  <c r="K67" i="4" l="1"/>
  <c r="BI67" i="4"/>
  <c r="L56" i="4"/>
  <c r="BH57" i="4"/>
  <c r="AW52" i="4"/>
  <c r="BH49" i="4"/>
  <c r="AB49" i="4" s="1"/>
  <c r="BH47" i="4"/>
  <c r="AB47" i="4" s="1"/>
  <c r="BH27" i="4"/>
  <c r="AB27" i="4" s="1"/>
  <c r="K27" i="4"/>
  <c r="K26" i="4" s="1"/>
  <c r="AV27" i="4"/>
  <c r="J27" i="4"/>
  <c r="J26" i="4" s="1"/>
  <c r="BH24" i="4"/>
  <c r="AB24" i="4" s="1"/>
  <c r="J24" i="4"/>
  <c r="J23" i="4" s="1"/>
  <c r="AW24" i="4"/>
  <c r="BH18" i="4"/>
  <c r="AB18" i="4" s="1"/>
  <c r="BI27" i="4"/>
  <c r="AC27" i="4" s="1"/>
  <c r="BI34" i="4"/>
  <c r="K34" i="4"/>
  <c r="K33" i="4" s="1"/>
  <c r="AX34" i="4"/>
  <c r="J34" i="4"/>
  <c r="J33" i="4" s="1"/>
  <c r="AW34" i="4"/>
  <c r="AV34" i="4" s="1"/>
  <c r="AX63" i="4"/>
  <c r="BI63" i="4"/>
  <c r="K63" i="4"/>
  <c r="AW61" i="4"/>
  <c r="J61" i="4"/>
  <c r="BH59" i="4"/>
  <c r="J65" i="1"/>
  <c r="J59" i="4"/>
  <c r="BC59" i="4"/>
  <c r="AV59" i="4"/>
  <c r="J67" i="4"/>
  <c r="BC63" i="4"/>
  <c r="AV63" i="4"/>
  <c r="BC52" i="4"/>
  <c r="AV52" i="4"/>
  <c r="AL21" i="4"/>
  <c r="AU20" i="4" s="1"/>
  <c r="L20" i="4"/>
  <c r="M21" i="4"/>
  <c r="M20" i="4" s="1"/>
  <c r="BF54" i="4"/>
  <c r="O53" i="4"/>
  <c r="L51" i="4"/>
  <c r="M52" i="4"/>
  <c r="M51" i="4" s="1"/>
  <c r="AL52" i="4"/>
  <c r="AU51" i="4" s="1"/>
  <c r="J14" i="4"/>
  <c r="J13" i="4" s="1"/>
  <c r="L53" i="4"/>
  <c r="AL54" i="4"/>
  <c r="AU53" i="4" s="1"/>
  <c r="M54" i="4"/>
  <c r="M53" i="4" s="1"/>
  <c r="AW67" i="4"/>
  <c r="AW47" i="4"/>
  <c r="AV57" i="4"/>
  <c r="BC57" i="4"/>
  <c r="AV49" i="4"/>
  <c r="BC49" i="4"/>
  <c r="M49" i="4"/>
  <c r="AL49" i="4"/>
  <c r="M41" i="4"/>
  <c r="M40" i="4" s="1"/>
  <c r="L40" i="4"/>
  <c r="AL41" i="4"/>
  <c r="AU40" i="4" s="1"/>
  <c r="AW41" i="4"/>
  <c r="AX61" i="4"/>
  <c r="K61" i="4"/>
  <c r="K56" i="4" s="1"/>
  <c r="K45" i="4" s="1"/>
  <c r="BI61" i="4"/>
  <c r="BF18" i="4"/>
  <c r="O17" i="4"/>
  <c r="O23" i="4"/>
  <c r="BF24" i="4"/>
  <c r="BC31" i="4"/>
  <c r="AV31" i="4"/>
  <c r="C14" i="2"/>
  <c r="O37" i="4"/>
  <c r="BF38" i="4"/>
  <c r="L33" i="4"/>
  <c r="M34" i="4"/>
  <c r="M33" i="4" s="1"/>
  <c r="AL34" i="4"/>
  <c r="AU33" i="4" s="1"/>
  <c r="M67" i="4"/>
  <c r="M56" i="4" s="1"/>
  <c r="AL67" i="4"/>
  <c r="AU56" i="4" s="1"/>
  <c r="BH65" i="4"/>
  <c r="AW65" i="4"/>
  <c r="J65" i="4"/>
  <c r="AV38" i="4"/>
  <c r="BC38" i="4"/>
  <c r="BC24" i="4"/>
  <c r="AV24" i="4"/>
  <c r="BC18" i="4"/>
  <c r="AV18" i="4"/>
  <c r="C20" i="2"/>
  <c r="AL47" i="4"/>
  <c r="AU46" i="4" s="1"/>
  <c r="L46" i="4"/>
  <c r="M47" i="4"/>
  <c r="AX14" i="4"/>
  <c r="BI14" i="4"/>
  <c r="AC14" i="4" s="1"/>
  <c r="O46" i="4"/>
  <c r="BF47" i="4"/>
  <c r="AW14" i="4"/>
  <c r="BI54" i="4"/>
  <c r="BF67" i="4"/>
  <c r="O56" i="4"/>
  <c r="M14" i="4"/>
  <c r="M13" i="4" s="1"/>
  <c r="L13" i="4"/>
  <c r="AL14" i="4"/>
  <c r="J18" i="4"/>
  <c r="J17" i="4" s="1"/>
  <c r="BI31" i="4"/>
  <c r="AC31" i="4" s="1"/>
  <c r="AX31" i="4"/>
  <c r="K31" i="4"/>
  <c r="K30" i="4" s="1"/>
  <c r="L30" i="4"/>
  <c r="M31" i="4"/>
  <c r="M30" i="4" s="1"/>
  <c r="AL31" i="4"/>
  <c r="AU30" i="4" s="1"/>
  <c r="O20" i="4"/>
  <c r="BF21" i="4"/>
  <c r="AX41" i="4"/>
  <c r="BI41" i="4"/>
  <c r="J54" i="4"/>
  <c r="J53" i="4" s="1"/>
  <c r="AW54" i="4"/>
  <c r="O51" i="4"/>
  <c r="BF52" i="4"/>
  <c r="J41" i="4"/>
  <c r="J40" i="4" s="1"/>
  <c r="AV21" i="4"/>
  <c r="BC21" i="4"/>
  <c r="J56" i="4" l="1"/>
  <c r="K12" i="4"/>
  <c r="C15" i="2"/>
  <c r="C22" i="2" s="1"/>
  <c r="BC34" i="4"/>
  <c r="J45" i="4"/>
  <c r="BC14" i="4"/>
  <c r="AV14" i="4"/>
  <c r="AU13" i="4"/>
  <c r="C29" i="2"/>
  <c r="M12" i="4"/>
  <c r="BC47" i="4"/>
  <c r="AV47" i="4"/>
  <c r="BC61" i="4"/>
  <c r="AV61" i="4"/>
  <c r="L68" i="4"/>
  <c r="L12" i="4"/>
  <c r="BC41" i="4"/>
  <c r="AV41" i="4"/>
  <c r="BC67" i="4"/>
  <c r="AV67" i="4"/>
  <c r="J12" i="4"/>
  <c r="BC54" i="4"/>
  <c r="AV54" i="4"/>
  <c r="BC65" i="4"/>
  <c r="AV65" i="4"/>
  <c r="M46" i="4"/>
  <c r="M45" i="4" s="1"/>
  <c r="O12" i="4"/>
  <c r="O45" i="4"/>
  <c r="L45" i="4"/>
  <c r="M68" i="4" l="1"/>
  <c r="F29" i="2"/>
  <c r="I28" i="2"/>
  <c r="I29" i="2" l="1"/>
</calcChain>
</file>

<file path=xl/sharedStrings.xml><?xml version="1.0" encoding="utf-8"?>
<sst xmlns="http://schemas.openxmlformats.org/spreadsheetml/2006/main" count="1018" uniqueCount="260">
  <si>
    <t>Stavební rozpočet</t>
  </si>
  <si>
    <t>Název stavby:</t>
  </si>
  <si>
    <t>Doba výstavby:</t>
  </si>
  <si>
    <t>Objednatel:</t>
  </si>
  <si>
    <t>Druh stavby:</t>
  </si>
  <si>
    <t>Začátek výstavby:</t>
  </si>
  <si>
    <t>Projektant:</t>
  </si>
  <si>
    <t>Lokalita:</t>
  </si>
  <si>
    <t>Konec výstavby:</t>
  </si>
  <si>
    <t>Zhotovitel:</t>
  </si>
  <si>
    <t>JKSO:</t>
  </si>
  <si>
    <t>Zpracováno dne:</t>
  </si>
  <si>
    <t>Zpracoval:</t>
  </si>
  <si>
    <t>Č</t>
  </si>
  <si>
    <t>Objekt</t>
  </si>
  <si>
    <t>Kód</t>
  </si>
  <si>
    <t>Zkrácený popis / Varianta</t>
  </si>
  <si>
    <t>MJ</t>
  </si>
  <si>
    <t>Sazba DPH</t>
  </si>
  <si>
    <t>Množství</t>
  </si>
  <si>
    <t>Jednotková cena (Kč)</t>
  </si>
  <si>
    <t>Náklady celkem (Kč)</t>
  </si>
  <si>
    <t>Cenová soustava</t>
  </si>
  <si>
    <t>GROUPCODE</t>
  </si>
  <si>
    <t>ISWORK</t>
  </si>
  <si>
    <t xml:space="preserve"> </t>
  </si>
  <si>
    <t>SO01</t>
  </si>
  <si>
    <t/>
  </si>
  <si>
    <t>Povrchové úpravy terénu</t>
  </si>
  <si>
    <t>12</t>
  </si>
  <si>
    <t>Odkopávky a prokopávky</t>
  </si>
  <si>
    <t>122201101R00</t>
  </si>
  <si>
    <t>Odkopávky nezapažené v hor. 3 do 100 m3</t>
  </si>
  <si>
    <t>m3</t>
  </si>
  <si>
    <t>RTS I / 2025</t>
  </si>
  <si>
    <t>P</t>
  </si>
  <si>
    <t>Poznámka:</t>
  </si>
  <si>
    <t>33,6*0,40   odkopávky pro pískoviště
3,9*0,6   trampolína</t>
  </si>
  <si>
    <t>27</t>
  </si>
  <si>
    <t>Základy</t>
  </si>
  <si>
    <t>271531113R00</t>
  </si>
  <si>
    <t>Polštář základu z kameniva hr. drceného 16-32 mm</t>
  </si>
  <si>
    <t>33,6*0,15   dna pískoviště</t>
  </si>
  <si>
    <t>28</t>
  </si>
  <si>
    <t>Zpevňování hornin a konstrukcí</t>
  </si>
  <si>
    <t>289970111R00</t>
  </si>
  <si>
    <t>Vrstva geotextilie Geofiltex 300g/m2</t>
  </si>
  <si>
    <t>m2</t>
  </si>
  <si>
    <t>35   do pískoviště</t>
  </si>
  <si>
    <t>56</t>
  </si>
  <si>
    <t>Podkladní vrstvy komunikací, letišť a ploch</t>
  </si>
  <si>
    <t>564821111R00</t>
  </si>
  <si>
    <t>Podklad ze štěrku fr 4/8  tloušťky 8 cm D + M</t>
  </si>
  <si>
    <t>11,6*0,30   podklad pod akátovou obrubu</t>
  </si>
  <si>
    <t>91</t>
  </si>
  <si>
    <t>Doplňující konstrukce a práce na pozemních komunikacích a zpevněných plochách</t>
  </si>
  <si>
    <t>916661111RT3</t>
  </si>
  <si>
    <t>Osazení dřevěného obrubníků z akátové kulatiny do štěrkového lože včetně dodání akátové kulatiny</t>
  </si>
  <si>
    <t>m</t>
  </si>
  <si>
    <t>11,95   obvod západní a jižní strana pískoviště</t>
  </si>
  <si>
    <t>RTS komentář:</t>
  </si>
  <si>
    <t>Část lože přesahující 10 cm se oceňuje položkou 918 10-1111 Lože pod obrubníky, krajníky nebo obruby</t>
  </si>
  <si>
    <t>93</t>
  </si>
  <si>
    <t>Různé dokončovací konstrukce a práce inženýrských staveb</t>
  </si>
  <si>
    <t>936004212R00</t>
  </si>
  <si>
    <t>Výplň pískoviště pískem</t>
  </si>
  <si>
    <t>33,6*0,40   certifikovaný písek pro dětská hřiště</t>
  </si>
  <si>
    <t>H333VD</t>
  </si>
  <si>
    <t>Přesun hmot</t>
  </si>
  <si>
    <t>333VD</t>
  </si>
  <si>
    <t>Přesun hmot pro zahradní a krajinářskou architekturu</t>
  </si>
  <si>
    <t>KPL</t>
  </si>
  <si>
    <t>1</t>
  </si>
  <si>
    <t>M46</t>
  </si>
  <si>
    <t>Zemní práce při montážích</t>
  </si>
  <si>
    <t>460600001R00</t>
  </si>
  <si>
    <t>Naložení a odvoz výkopku</t>
  </si>
  <si>
    <t>13,44  vykopaná směs zeminy a stavebních zbytků</t>
  </si>
  <si>
    <t>S</t>
  </si>
  <si>
    <t>Přesuny sutí</t>
  </si>
  <si>
    <t>979999974R00</t>
  </si>
  <si>
    <t>Poplatek za uložení, zemina a kamení s příměsí 5 % (cihla, beton), (skup.170504)</t>
  </si>
  <si>
    <t>t</t>
  </si>
  <si>
    <t>13,4*2   pískoviště
4,095*2   trampolína</t>
  </si>
  <si>
    <t>Thermoservis - transport s.r.o. Roviny 4 643 00 Brno – Chrlice, ČR IČ: 269 12 643 DIČ: CZ 269 12 64</t>
  </si>
  <si>
    <t>SO02</t>
  </si>
  <si>
    <t>Herní prvky</t>
  </si>
  <si>
    <t>18</t>
  </si>
  <si>
    <t>184921093R00</t>
  </si>
  <si>
    <t>Mulčování dopadové plochy dřevní štěpkou tl. do 0,1 m rovina</t>
  </si>
  <si>
    <t xml:space="preserve">50
</t>
  </si>
  <si>
    <t>182001111R00</t>
  </si>
  <si>
    <t>Plošná úprava terénu, nerovnosti do 10 cm v rovině</t>
  </si>
  <si>
    <t>50   srovnání plochy před realizací II. etapy</t>
  </si>
  <si>
    <t>936124112R00</t>
  </si>
  <si>
    <t>Zřízení lavice stabilní se zabetonováním noh</t>
  </si>
  <si>
    <t>kus</t>
  </si>
  <si>
    <t>H766</t>
  </si>
  <si>
    <t>Konstrukce truhlářské</t>
  </si>
  <si>
    <t>998766101R00</t>
  </si>
  <si>
    <t>Přesun hmot pro herní prvky</t>
  </si>
  <si>
    <t>10</t>
  </si>
  <si>
    <t>M</t>
  </si>
  <si>
    <t>Ostatní materiál</t>
  </si>
  <si>
    <t>222R01VD</t>
  </si>
  <si>
    <t>HP 11 Trampolína XL D + M</t>
  </si>
  <si>
    <t>Z99999</t>
  </si>
  <si>
    <t>kompletní dodávka včetně výkopu patek a zabetonování patek</t>
  </si>
  <si>
    <t>22201VD</t>
  </si>
  <si>
    <t>HP 12 Vahadlová houpačka D + M</t>
  </si>
  <si>
    <t>22202VD</t>
  </si>
  <si>
    <t>HP 09 Pískohry D + M</t>
  </si>
  <si>
    <t>22203VD</t>
  </si>
  <si>
    <t>HP 08 Polohovatelná krycí plachta D + M</t>
  </si>
  <si>
    <t>001AVD</t>
  </si>
  <si>
    <t>Papírenská štěpka včetně dovozu</t>
  </si>
  <si>
    <t>50*0,10</t>
  </si>
  <si>
    <t>444VD</t>
  </si>
  <si>
    <t>Parková lavička s opěradlem - délka 1,8 - 2 m, sedák a opěrná část z prken z tropického dřeva</t>
  </si>
  <si>
    <t>ks</t>
  </si>
  <si>
    <t>Celkem:</t>
  </si>
  <si>
    <t>Krycí list rozpočtu</t>
  </si>
  <si>
    <t>IČO/DIČ: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</si>
  <si>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</si>
  <si>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</si>
  <si>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</si>
  <si>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</si>
  <si>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</si>
  <si>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</si>
  <si>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</si>
  <si>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</si>
  <si>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</si>
  <si>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</si>
  <si>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</si>
  <si>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</si>
  <si>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</si>
  <si>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Montáž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</si>
  <si>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</si>
  <si>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</si>
  <si>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</si>
  <si>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</si>
  <si>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</si>
  <si>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</si>
  <si>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</si>
  <si>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</si>
  <si>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</si>
  <si>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</si>
  <si>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</si>
  <si>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</si>
  <si>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</si>
  <si>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</si>
  <si>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</si>
  <si>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</si>
  <si>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</si>
  <si>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</si>
  <si>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</si>
  <si>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</si>
  <si>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</si>
  <si>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</si>
  <si>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</si>
  <si>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</si>
  <si>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</si>
  <si>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</si>
  <si>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</si>
  <si>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</si>
  <si>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Vedlejší a ostatní rozpočtové náklady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</si>
  <si>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</si>
  <si>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</si>
  <si>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</si>
  <si>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</si>
  <si>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</si>
  <si>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</si>
  <si>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</si>
  <si>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</si>
  <si>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Ostatní rozpočtové náklady ORN</t>
  </si>
  <si>
    <t>Ostatní rozpočtové náklady (ORN)</t>
  </si>
  <si>
    <t>Celkem ORN</t>
  </si>
  <si>
    <t>Nové hřiště v Hrubšicích etapa I.</t>
  </si>
  <si>
    <t> </t>
  </si>
  <si>
    <t>18.09.2025</t>
  </si>
  <si>
    <t>k.ú. Hrubšice</t>
  </si>
  <si>
    <t>Ing.Jiří Dvořák</t>
  </si>
  <si>
    <t>Cena/MJ</t>
  </si>
  <si>
    <t>Náklady (Kč)</t>
  </si>
  <si>
    <t>Hmotnost (t)</t>
  </si>
  <si>
    <t>Cenová</t>
  </si>
  <si>
    <t>VATTAX</t>
  </si>
  <si>
    <t>Rozměry</t>
  </si>
  <si>
    <t>(Kč)</t>
  </si>
  <si>
    <t>Dodávka</t>
  </si>
  <si>
    <t>Celkem</t>
  </si>
  <si>
    <t>Celkem vč. DPH</t>
  </si>
  <si>
    <t>Jednot.</t>
  </si>
  <si>
    <t>soustava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</si>
  <si>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</si>
  <si>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</si>
  <si>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</si>
  <si>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</si>
  <si>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</si>
  <si>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</si>
  <si>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</si>
  <si>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</si>
  <si>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</si>
  <si>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</si>
  <si>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</si>
  <si>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</si>
  <si>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>12_</t>
  </si>
  <si>
    <t>SO01_1_</t>
  </si>
  <si>
    <t>SO01_</t>
  </si>
  <si>
    <t>Varianta:</t>
  </si>
  <si>
    <t xml:space="preserve">
</t>
  </si>
  <si>
    <t>2</t>
  </si>
  <si>
    <t>27_</t>
  </si>
  <si>
    <t>SO01_2_</t>
  </si>
  <si>
    <t>3</t>
  </si>
  <si>
    <t>28_</t>
  </si>
  <si>
    <t>4</t>
  </si>
  <si>
    <t>56_</t>
  </si>
  <si>
    <t>SO01_5_</t>
  </si>
  <si>
    <t>5</t>
  </si>
  <si>
    <t>91_</t>
  </si>
  <si>
    <t>SO01_9_</t>
  </si>
  <si>
    <t>6</t>
  </si>
  <si>
    <t>93_</t>
  </si>
  <si>
    <t>7</t>
  </si>
  <si>
    <t>H333VD_</t>
  </si>
  <si>
    <t>8</t>
  </si>
  <si>
    <t>M46_</t>
  </si>
  <si>
    <t>9</t>
  </si>
  <si>
    <t>S_</t>
  </si>
  <si>
    <t>72,6*1,8</t>
  </si>
  <si>
    <t>18_</t>
  </si>
  <si>
    <t>SO02_1_</t>
  </si>
  <si>
    <t>SO02_</t>
  </si>
  <si>
    <t>11</t>
  </si>
  <si>
    <t>SO02_9_</t>
  </si>
  <si>
    <t>13</t>
  </si>
  <si>
    <t>H766_</t>
  </si>
  <si>
    <t>14</t>
  </si>
  <si>
    <t>0</t>
  </si>
  <si>
    <t>Z99999_</t>
  </si>
  <si>
    <t>SO02_Z_</t>
  </si>
  <si>
    <t>15</t>
  </si>
  <si>
    <t>16</t>
  </si>
  <si>
    <t>17</t>
  </si>
  <si>
    <t>19</t>
  </si>
  <si>
    <t>soub.</t>
  </si>
  <si>
    <t>Osazení dřevěného obrubníků z akátové kulatiny do štěrkového lože včetně dodání akátové kulatiny  D + M</t>
  </si>
  <si>
    <r>
      <rPr>
        <sz val="10"/>
        <color theme="7" tint="-0.249977111117893"/>
        <rFont val="Arial"/>
        <family val="2"/>
        <charset val="238"/>
      </rPr>
      <t>HP 11</t>
    </r>
    <r>
      <rPr>
        <sz val="10"/>
        <color rgb="FF000000"/>
        <rFont val="Arial"/>
        <family val="2"/>
        <charset val="238"/>
      </rPr>
      <t xml:space="preserve"> Trampolína XL D + M /  </t>
    </r>
    <r>
      <rPr>
        <sz val="10"/>
        <color theme="7" tint="-0.249977111117893"/>
        <rFont val="Arial"/>
        <family val="2"/>
        <charset val="238"/>
      </rPr>
      <t>číslo prvku v půdorysu</t>
    </r>
  </si>
  <si>
    <r>
      <rPr>
        <sz val="10"/>
        <color theme="7" tint="-0.249977111117893"/>
        <rFont val="Arial"/>
        <family val="2"/>
        <charset val="238"/>
      </rPr>
      <t>HP 12</t>
    </r>
    <r>
      <rPr>
        <sz val="10"/>
        <color rgb="FF000000"/>
        <rFont val="Arial"/>
        <family val="2"/>
        <charset val="238"/>
      </rPr>
      <t xml:space="preserve"> Vahadlová houpačka D + M / </t>
    </r>
    <r>
      <rPr>
        <sz val="10"/>
        <color theme="7" tint="-0.249977111117893"/>
        <rFont val="Arial"/>
        <family val="2"/>
        <charset val="238"/>
      </rPr>
      <t>číslo prvku v půdorysu</t>
    </r>
  </si>
  <si>
    <r>
      <rPr>
        <sz val="10"/>
        <color theme="7" tint="-0.249977111117893"/>
        <rFont val="Arial"/>
        <family val="2"/>
        <charset val="238"/>
      </rPr>
      <t>HP 09</t>
    </r>
    <r>
      <rPr>
        <sz val="10"/>
        <color rgb="FF000000"/>
        <rFont val="Arial"/>
        <family val="2"/>
        <charset val="238"/>
      </rPr>
      <t xml:space="preserve"> Pískohry D + M / </t>
    </r>
    <r>
      <rPr>
        <sz val="10"/>
        <color theme="7" tint="-0.249977111117893"/>
        <rFont val="Arial"/>
        <family val="2"/>
        <charset val="238"/>
      </rPr>
      <t>číslo prvku v půdorysu</t>
    </r>
  </si>
  <si>
    <r>
      <rPr>
        <sz val="10"/>
        <color theme="7" tint="-0.249977111117893"/>
        <rFont val="Arial"/>
        <family val="2"/>
        <charset val="238"/>
      </rPr>
      <t>HP 08</t>
    </r>
    <r>
      <rPr>
        <sz val="10"/>
        <color rgb="FF000000"/>
        <rFont val="Arial"/>
        <family val="2"/>
        <charset val="238"/>
      </rPr>
      <t xml:space="preserve"> Polohovatelná krycí plachta D + M / </t>
    </r>
    <r>
      <rPr>
        <sz val="10"/>
        <color theme="7" tint="-0.249977111117893"/>
        <rFont val="Arial"/>
        <family val="2"/>
        <charset val="238"/>
      </rPr>
      <t>číslo prvku v půdorysu</t>
    </r>
  </si>
  <si>
    <t>vlastní</t>
  </si>
  <si>
    <t xml:space="preserve">50 doplnění štěpky
</t>
  </si>
  <si>
    <t>Výplň pískoviště pískem včetně dodávky písku</t>
  </si>
  <si>
    <t>Město Ivančice</t>
  </si>
  <si>
    <t>Ing.Bc.Petra Dermeková</t>
  </si>
  <si>
    <t>Nové hřiště v Hrubšicích - etapa II.  JARO 2026</t>
  </si>
  <si>
    <t>Zřízení lavice stabilní se zabetonováním noh včetně dodávky pomocného materiálu</t>
  </si>
  <si>
    <t>Stavební rozpočet - SLEPÝ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</si>
</sst>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name val="Calibri"/>
      <charset val="1"/>
    </font>
    <font>
      <sz val="18"/>
      <color rgb="FF000000"/>
      <name val="Arial"/>
      <charset val="238"/>
    </font>
    <font>
      <sz val="10"/>
      <color rgb="FF000000"/>
      <name val="Arial"/>
      <charset val="238"/>
    </font>
    <font>
      <b/>
      <sz val="10"/>
      <color rgb="FF000000"/>
      <name val="Arial"/>
      <charset val="238"/>
    </font>
    <font>
      <i/>
      <sz val="10"/>
      <color rgb="FF000000"/>
      <name val="Arial"/>
      <charset val="238"/>
    </font>
    <font>
      <b/>
      <sz val="18"/>
      <color rgb="FF000000"/>
      <name val="Arial"/>
      <charset val="238"/>
    </font>
    <font>
      <b/>
      <sz val="20"/>
      <color rgb="FF000000"/>
      <name val="Arial"/>
      <charset val="238"/>
    </font>
    <font>
      <b/>
      <sz val="11"/>
      <color rgb="FF000000"/>
      <name val="Arial"/>
      <charset val="238"/>
    </font>
    <font>
      <b/>
      <sz val="12"/>
      <color rgb="FF000000"/>
      <name val="Arial"/>
      <charset val="238"/>
    </font>
    <font>
      <sz val="12"/>
      <color rgb="FF000000"/>
      <name val="Arial"/>
      <charset val="238"/>
    </font>
    <font>
      <i/>
      <sz val="8"/>
      <color rgb="FF000000"/>
      <name val="Arial"/>
      <charset val="238"/>
    </font>
    <font>
      <i/>
      <sz val="10"/>
      <color theme="4"/>
      <name val="Arial"/>
      <family val="2"/>
      <charset val="238"/>
    </font>
    <font>
      <sz val="11"/>
      <color theme="4"/>
      <name val="Calibri"/>
      <family val="2"/>
      <charset val="238"/>
    </font>
    <font>
      <sz val="10"/>
      <color rgb="FF000000"/>
      <name val="Arial"/>
      <family val="2"/>
      <charset val="238"/>
    </font>
    <font>
      <sz val="10"/>
      <color theme="7" tint="-0.249977111117893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8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C0C0C0"/>
        <bgColor rgb="FFC0C0C0"/>
      </patternFill>
    </fill>
    <fill>
      <patternFill patternType="solid">
        <fgColor theme="8" tint="0.79998168889431442"/>
        <bgColor indexed="64"/>
      </patternFill>
    </fill>
  </fills>
  <borders count="8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201">
    <xf numFmtId="0" fontId="0" fillId="0" borderId="0" xfId="0"/>
    <xf numFmtId="0" fontId="2" fillId="0" borderId="5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3" fillId="3" borderId="14" xfId="0" applyFont="1" applyFill="1" applyBorder="1" applyAlignment="1">
      <alignment horizontal="left" vertical="center"/>
    </xf>
    <xf numFmtId="0" fontId="3" fillId="3" borderId="15" xfId="0" applyFont="1" applyFill="1" applyBorder="1" applyAlignment="1">
      <alignment horizontal="left" vertical="center"/>
    </xf>
    <xf numFmtId="0" fontId="3" fillId="3" borderId="15" xfId="0" applyFont="1" applyFill="1" applyBorder="1" applyAlignment="1">
      <alignment horizontal="right" vertical="center"/>
    </xf>
    <xf numFmtId="4" fontId="3" fillId="3" borderId="15" xfId="0" applyNumberFormat="1" applyFont="1" applyFill="1" applyBorder="1" applyAlignment="1">
      <alignment horizontal="right" vertical="center"/>
    </xf>
    <xf numFmtId="0" fontId="3" fillId="3" borderId="16" xfId="0" applyFont="1" applyFill="1" applyBorder="1" applyAlignment="1">
      <alignment horizontal="left" vertical="center"/>
    </xf>
    <xf numFmtId="0" fontId="3" fillId="3" borderId="5" xfId="0" applyFont="1" applyFill="1" applyBorder="1" applyAlignment="1">
      <alignment horizontal="left" vertical="center"/>
    </xf>
    <xf numFmtId="0" fontId="3" fillId="3" borderId="0" xfId="0" applyFont="1" applyFill="1" applyAlignment="1">
      <alignment horizontal="left" vertical="center"/>
    </xf>
    <xf numFmtId="0" fontId="3" fillId="3" borderId="0" xfId="0" applyFont="1" applyFill="1" applyAlignment="1">
      <alignment horizontal="right" vertical="center"/>
    </xf>
    <xf numFmtId="4" fontId="3" fillId="3" borderId="0" xfId="0" applyNumberFormat="1" applyFont="1" applyFill="1" applyAlignment="1">
      <alignment horizontal="right" vertical="center"/>
    </xf>
    <xf numFmtId="0" fontId="3" fillId="3" borderId="6" xfId="0" applyFont="1" applyFill="1" applyBorder="1" applyAlignment="1">
      <alignment horizontal="left" vertical="center"/>
    </xf>
    <xf numFmtId="1" fontId="2" fillId="0" borderId="5" xfId="0" applyNumberFormat="1" applyFont="1" applyBorder="1" applyAlignment="1">
      <alignment horizontal="left" vertical="center"/>
    </xf>
    <xf numFmtId="1" fontId="2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 wrapText="1"/>
    </xf>
    <xf numFmtId="1" fontId="2" fillId="0" borderId="7" xfId="0" applyNumberFormat="1" applyFont="1" applyBorder="1" applyAlignment="1">
      <alignment horizontal="left" vertical="center"/>
    </xf>
    <xf numFmtId="1" fontId="2" fillId="0" borderId="8" xfId="0" applyNumberFormat="1" applyFont="1" applyBorder="1" applyAlignment="1">
      <alignment horizontal="right" vertical="center"/>
    </xf>
    <xf numFmtId="4" fontId="2" fillId="0" borderId="8" xfId="0" applyNumberFormat="1" applyFont="1" applyBorder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0" fontId="6" fillId="3" borderId="18" xfId="0" applyFont="1" applyFill="1" applyBorder="1" applyAlignment="1">
      <alignment horizontal="center" vertical="center"/>
    </xf>
    <xf numFmtId="0" fontId="6" fillId="3" borderId="21" xfId="0" applyFont="1" applyFill="1" applyBorder="1" applyAlignment="1">
      <alignment horizontal="center" vertical="center"/>
    </xf>
    <xf numFmtId="0" fontId="8" fillId="0" borderId="22" xfId="0" applyFont="1" applyBorder="1" applyAlignment="1">
      <alignment horizontal="left" vertical="center"/>
    </xf>
    <xf numFmtId="0" fontId="9" fillId="0" borderId="23" xfId="0" applyFont="1" applyBorder="1" applyAlignment="1">
      <alignment horizontal="left" vertical="center"/>
    </xf>
    <xf numFmtId="4" fontId="9" fillId="0" borderId="23" xfId="0" applyNumberFormat="1" applyFont="1" applyBorder="1" applyAlignment="1">
      <alignment horizontal="right" vertical="center"/>
    </xf>
    <xf numFmtId="0" fontId="8" fillId="0" borderId="26" xfId="0" applyFont="1" applyBorder="1" applyAlignment="1">
      <alignment horizontal="left" vertical="center"/>
    </xf>
    <xf numFmtId="0" fontId="9" fillId="0" borderId="23" xfId="0" applyFont="1" applyBorder="1" applyAlignment="1">
      <alignment horizontal="right" vertical="center"/>
    </xf>
    <xf numFmtId="4" fontId="9" fillId="0" borderId="30" xfId="0" applyNumberFormat="1" applyFont="1" applyBorder="1" applyAlignment="1">
      <alignment horizontal="right" vertical="center"/>
    </xf>
    <xf numFmtId="0" fontId="9" fillId="0" borderId="30" xfId="0" applyFont="1" applyBorder="1" applyAlignment="1">
      <alignment horizontal="right" vertical="center"/>
    </xf>
    <xf numFmtId="4" fontId="9" fillId="0" borderId="21" xfId="0" applyNumberFormat="1" applyFont="1" applyBorder="1" applyAlignment="1">
      <alignment horizontal="right" vertical="center"/>
    </xf>
    <xf numFmtId="4" fontId="9" fillId="0" borderId="33" xfId="0" applyNumberFormat="1" applyFont="1" applyBorder="1" applyAlignment="1">
      <alignment horizontal="right" vertical="center"/>
    </xf>
    <xf numFmtId="4" fontId="8" fillId="3" borderId="20" xfId="0" applyNumberFormat="1" applyFont="1" applyFill="1" applyBorder="1" applyAlignment="1">
      <alignment horizontal="right" vertical="center"/>
    </xf>
    <xf numFmtId="4" fontId="8" fillId="3" borderId="25" xfId="0" applyNumberFormat="1" applyFont="1" applyFill="1" applyBorder="1" applyAlignment="1">
      <alignment horizontal="right" vertical="center"/>
    </xf>
    <xf numFmtId="0" fontId="10" fillId="0" borderId="15" xfId="0" applyFont="1" applyBorder="1" applyAlignment="1">
      <alignment horizontal="left" vertical="center"/>
    </xf>
    <xf numFmtId="0" fontId="3" fillId="0" borderId="51" xfId="0" applyFont="1" applyBorder="1" applyAlignment="1">
      <alignment horizontal="right" vertical="center"/>
    </xf>
    <xf numFmtId="4" fontId="2" fillId="0" borderId="23" xfId="0" applyNumberFormat="1" applyFont="1" applyBorder="1" applyAlignment="1">
      <alignment horizontal="right" vertical="center"/>
    </xf>
    <xf numFmtId="0" fontId="2" fillId="0" borderId="23" xfId="0" applyFont="1" applyBorder="1" applyAlignment="1">
      <alignment horizontal="left" vertical="center"/>
    </xf>
    <xf numFmtId="4" fontId="2" fillId="0" borderId="55" xfId="0" applyNumberFormat="1" applyFont="1" applyBorder="1" applyAlignment="1">
      <alignment horizontal="right" vertical="center"/>
    </xf>
    <xf numFmtId="0" fontId="2" fillId="0" borderId="55" xfId="0" applyFont="1" applyBorder="1" applyAlignment="1">
      <alignment horizontal="left" vertical="center"/>
    </xf>
    <xf numFmtId="0" fontId="3" fillId="0" borderId="59" xfId="0" applyFont="1" applyBorder="1" applyAlignment="1">
      <alignment horizontal="left" vertical="center"/>
    </xf>
    <xf numFmtId="0" fontId="3" fillId="0" borderId="59" xfId="0" applyFont="1" applyBorder="1" applyAlignment="1">
      <alignment horizontal="right" vertical="center"/>
    </xf>
    <xf numFmtId="4" fontId="3" fillId="0" borderId="59" xfId="0" applyNumberFormat="1" applyFont="1" applyBorder="1" applyAlignment="1">
      <alignment horizontal="right" vertical="center"/>
    </xf>
    <xf numFmtId="0" fontId="3" fillId="0" borderId="63" xfId="0" applyFont="1" applyBorder="1" applyAlignment="1">
      <alignment horizontal="left" vertical="center"/>
    </xf>
    <xf numFmtId="0" fontId="3" fillId="0" borderId="64" xfId="0" applyFont="1" applyBorder="1" applyAlignment="1">
      <alignment horizontal="left" vertical="center"/>
    </xf>
    <xf numFmtId="0" fontId="3" fillId="0" borderId="64" xfId="0" applyFont="1" applyBorder="1" applyAlignment="1">
      <alignment horizontal="center" vertical="center"/>
    </xf>
    <xf numFmtId="0" fontId="3" fillId="0" borderId="67" xfId="0" applyFont="1" applyBorder="1" applyAlignment="1">
      <alignment horizontal="center" vertical="center"/>
    </xf>
    <xf numFmtId="0" fontId="3" fillId="0" borderId="68" xfId="0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3" fillId="0" borderId="71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2" fillId="0" borderId="72" xfId="0" applyFont="1" applyBorder="1" applyAlignment="1">
      <alignment horizontal="left" vertical="center"/>
    </xf>
    <xf numFmtId="0" fontId="2" fillId="0" borderId="73" xfId="0" applyFont="1" applyBorder="1" applyAlignment="1">
      <alignment horizontal="left" vertical="center"/>
    </xf>
    <xf numFmtId="0" fontId="3" fillId="0" borderId="76" xfId="0" applyFont="1" applyBorder="1" applyAlignment="1">
      <alignment horizontal="center" vertical="center"/>
    </xf>
    <xf numFmtId="0" fontId="2" fillId="0" borderId="77" xfId="0" applyFont="1" applyBorder="1" applyAlignment="1">
      <alignment horizontal="left" vertical="center"/>
    </xf>
    <xf numFmtId="0" fontId="3" fillId="0" borderId="13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78" xfId="0" applyFont="1" applyBorder="1" applyAlignment="1">
      <alignment horizontal="center" vertical="center"/>
    </xf>
    <xf numFmtId="0" fontId="3" fillId="0" borderId="79" xfId="0" applyFont="1" applyBorder="1" applyAlignment="1">
      <alignment horizontal="center" vertical="center"/>
    </xf>
    <xf numFmtId="0" fontId="3" fillId="0" borderId="80" xfId="0" applyFont="1" applyBorder="1" applyAlignment="1">
      <alignment horizontal="center" vertical="center"/>
    </xf>
    <xf numFmtId="0" fontId="3" fillId="0" borderId="81" xfId="0" applyFont="1" applyBorder="1" applyAlignment="1">
      <alignment horizontal="center" vertical="center"/>
    </xf>
    <xf numFmtId="0" fontId="3" fillId="0" borderId="82" xfId="0" applyFont="1" applyBorder="1" applyAlignment="1">
      <alignment horizontal="center" vertical="center"/>
    </xf>
    <xf numFmtId="0" fontId="2" fillId="3" borderId="14" xfId="0" applyFont="1" applyFill="1" applyBorder="1" applyAlignment="1">
      <alignment horizontal="left" vertical="center"/>
    </xf>
    <xf numFmtId="0" fontId="2" fillId="3" borderId="15" xfId="0" applyFont="1" applyFill="1" applyBorder="1" applyAlignment="1">
      <alignment horizontal="left" vertical="center"/>
    </xf>
    <xf numFmtId="0" fontId="3" fillId="3" borderId="16" xfId="0" applyFont="1" applyFill="1" applyBorder="1" applyAlignment="1">
      <alignment horizontal="right" vertical="center"/>
    </xf>
    <xf numFmtId="0" fontId="2" fillId="3" borderId="5" xfId="0" applyFont="1" applyFill="1" applyBorder="1" applyAlignment="1">
      <alignment horizontal="left" vertical="center"/>
    </xf>
    <xf numFmtId="0" fontId="2" fillId="3" borderId="0" xfId="0" applyFont="1" applyFill="1" applyAlignment="1">
      <alignment horizontal="left" vertical="center"/>
    </xf>
    <xf numFmtId="0" fontId="3" fillId="3" borderId="6" xfId="0" applyFont="1" applyFill="1" applyBorder="1" applyAlignment="1">
      <alignment horizontal="right" vertical="center"/>
    </xf>
    <xf numFmtId="0" fontId="2" fillId="0" borderId="6" xfId="0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0" fillId="0" borderId="5" xfId="0" applyBorder="1"/>
    <xf numFmtId="0" fontId="2" fillId="0" borderId="9" xfId="0" applyFont="1" applyBorder="1" applyAlignment="1">
      <alignment horizontal="right" vertical="center"/>
    </xf>
    <xf numFmtId="4" fontId="3" fillId="0" borderId="83" xfId="0" applyNumberFormat="1" applyFont="1" applyBorder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3" fillId="3" borderId="15" xfId="0" applyFont="1" applyFill="1" applyBorder="1" applyAlignment="1">
      <alignment horizontal="left" vertical="center" wrapText="1"/>
    </xf>
    <xf numFmtId="0" fontId="3" fillId="3" borderId="15" xfId="0" applyFont="1" applyFill="1" applyBorder="1" applyAlignment="1">
      <alignment horizontal="left" vertical="center"/>
    </xf>
    <xf numFmtId="0" fontId="3" fillId="3" borderId="0" xfId="0" applyFont="1" applyFill="1" applyAlignment="1">
      <alignment horizontal="left" vertical="center" wrapText="1"/>
    </xf>
    <xf numFmtId="0" fontId="3" fillId="3" borderId="0" xfId="0" applyFont="1" applyFill="1" applyAlignment="1">
      <alignment horizontal="left" vertical="center"/>
    </xf>
    <xf numFmtId="0" fontId="4" fillId="0" borderId="5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/>
    </xf>
    <xf numFmtId="1" fontId="2" fillId="0" borderId="6" xfId="0" applyNumberFormat="1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center" vertical="center"/>
    </xf>
    <xf numFmtId="0" fontId="7" fillId="0" borderId="19" xfId="0" applyFont="1" applyBorder="1" applyAlignment="1">
      <alignment horizontal="left" vertical="center"/>
    </xf>
    <xf numFmtId="0" fontId="7" fillId="0" borderId="20" xfId="0" applyFont="1" applyBorder="1" applyAlignment="1">
      <alignment horizontal="left" vertical="center"/>
    </xf>
    <xf numFmtId="0" fontId="8" fillId="0" borderId="27" xfId="0" applyFont="1" applyBorder="1" applyAlignment="1">
      <alignment horizontal="left" vertical="center"/>
    </xf>
    <xf numFmtId="0" fontId="8" fillId="0" borderId="25" xfId="0" applyFont="1" applyBorder="1" applyAlignment="1">
      <alignment horizontal="left" vertical="center"/>
    </xf>
    <xf numFmtId="0" fontId="8" fillId="0" borderId="28" xfId="0" applyFont="1" applyBorder="1" applyAlignment="1">
      <alignment horizontal="left" vertical="center"/>
    </xf>
    <xf numFmtId="0" fontId="8" fillId="0" borderId="29" xfId="0" applyFont="1" applyBorder="1" applyAlignment="1">
      <alignment horizontal="left" vertical="center"/>
    </xf>
    <xf numFmtId="0" fontId="8" fillId="0" borderId="32" xfId="0" applyFont="1" applyBorder="1" applyAlignment="1">
      <alignment horizontal="left" vertical="center"/>
    </xf>
    <xf numFmtId="0" fontId="8" fillId="0" borderId="20" xfId="0" applyFont="1" applyBorder="1" applyAlignment="1">
      <alignment horizontal="left" vertical="center"/>
    </xf>
    <xf numFmtId="0" fontId="9" fillId="0" borderId="24" xfId="0" applyFont="1" applyBorder="1" applyAlignment="1">
      <alignment horizontal="left" vertical="center"/>
    </xf>
    <xf numFmtId="0" fontId="9" fillId="0" borderId="25" xfId="0" applyFont="1" applyBorder="1" applyAlignment="1">
      <alignment horizontal="left" vertical="center"/>
    </xf>
    <xf numFmtId="0" fontId="9" fillId="0" borderId="31" xfId="0" applyFont="1" applyBorder="1" applyAlignment="1">
      <alignment horizontal="left" vertical="center"/>
    </xf>
    <xf numFmtId="0" fontId="9" fillId="0" borderId="29" xfId="0" applyFont="1" applyBorder="1" applyAlignment="1">
      <alignment horizontal="left" vertical="center"/>
    </xf>
    <xf numFmtId="0" fontId="8" fillId="0" borderId="19" xfId="0" applyFont="1" applyBorder="1" applyAlignment="1">
      <alignment horizontal="left" vertical="center"/>
    </xf>
    <xf numFmtId="0" fontId="8" fillId="0" borderId="24" xfId="0" applyFont="1" applyBorder="1" applyAlignment="1">
      <alignment horizontal="left" vertical="center"/>
    </xf>
    <xf numFmtId="0" fontId="8" fillId="3" borderId="32" xfId="0" applyFont="1" applyFill="1" applyBorder="1" applyAlignment="1">
      <alignment horizontal="left" vertical="center"/>
    </xf>
    <xf numFmtId="0" fontId="8" fillId="3" borderId="34" xfId="0" applyFont="1" applyFill="1" applyBorder="1" applyAlignment="1">
      <alignment horizontal="left" vertical="center"/>
    </xf>
    <xf numFmtId="0" fontId="8" fillId="3" borderId="27" xfId="0" applyFont="1" applyFill="1" applyBorder="1" applyAlignment="1">
      <alignment horizontal="left" vertical="center"/>
    </xf>
    <xf numFmtId="0" fontId="8" fillId="3" borderId="35" xfId="0" applyFont="1" applyFill="1" applyBorder="1" applyAlignment="1">
      <alignment horizontal="left" vertical="center"/>
    </xf>
    <xf numFmtId="0" fontId="8" fillId="3" borderId="19" xfId="0" applyFont="1" applyFill="1" applyBorder="1" applyAlignment="1">
      <alignment horizontal="left" vertical="center"/>
    </xf>
    <xf numFmtId="0" fontId="8" fillId="3" borderId="24" xfId="0" applyFont="1" applyFill="1" applyBorder="1" applyAlignment="1">
      <alignment horizontal="left" vertical="center"/>
    </xf>
    <xf numFmtId="0" fontId="9" fillId="0" borderId="36" xfId="0" applyFont="1" applyBorder="1" applyAlignment="1">
      <alignment horizontal="left" vertical="center"/>
    </xf>
    <xf numFmtId="0" fontId="9" fillId="0" borderId="37" xfId="0" applyFont="1" applyBorder="1" applyAlignment="1">
      <alignment horizontal="left" vertical="center"/>
    </xf>
    <xf numFmtId="0" fontId="9" fillId="0" borderId="38" xfId="0" applyFont="1" applyBorder="1" applyAlignment="1">
      <alignment horizontal="left" vertical="center"/>
    </xf>
    <xf numFmtId="0" fontId="9" fillId="0" borderId="40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41" xfId="0" applyFont="1" applyBorder="1" applyAlignment="1">
      <alignment horizontal="left" vertical="center"/>
    </xf>
    <xf numFmtId="0" fontId="9" fillId="0" borderId="43" xfId="0" applyFont="1" applyBorder="1" applyAlignment="1">
      <alignment horizontal="left" vertical="center"/>
    </xf>
    <xf numFmtId="0" fontId="9" fillId="0" borderId="44" xfId="0" applyFont="1" applyBorder="1" applyAlignment="1">
      <alignment horizontal="left" vertical="center"/>
    </xf>
    <xf numFmtId="0" fontId="9" fillId="0" borderId="45" xfId="0" applyFont="1" applyBorder="1" applyAlignment="1">
      <alignment horizontal="left" vertical="center"/>
    </xf>
    <xf numFmtId="0" fontId="9" fillId="0" borderId="39" xfId="0" applyFont="1" applyBorder="1" applyAlignment="1">
      <alignment horizontal="left" vertical="center"/>
    </xf>
    <xf numFmtId="0" fontId="9" fillId="0" borderId="42" xfId="0" applyFont="1" applyBorder="1" applyAlignment="1">
      <alignment horizontal="left" vertical="center"/>
    </xf>
    <xf numFmtId="0" fontId="9" fillId="0" borderId="46" xfId="0" applyFont="1" applyBorder="1" applyAlignment="1">
      <alignment horizontal="left" vertical="center"/>
    </xf>
    <xf numFmtId="0" fontId="8" fillId="0" borderId="47" xfId="0" applyFont="1" applyBorder="1" applyAlignment="1">
      <alignment horizontal="left" vertical="center"/>
    </xf>
    <xf numFmtId="0" fontId="3" fillId="0" borderId="4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center"/>
    </xf>
    <xf numFmtId="0" fontId="3" fillId="0" borderId="50" xfId="0" applyFont="1" applyBorder="1" applyAlignment="1">
      <alignment horizontal="left" vertical="center"/>
    </xf>
    <xf numFmtId="0" fontId="2" fillId="0" borderId="27" xfId="0" applyFont="1" applyBorder="1" applyAlignment="1">
      <alignment horizontal="left" vertical="center"/>
    </xf>
    <xf numFmtId="0" fontId="2" fillId="0" borderId="35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52" xfId="0" applyFont="1" applyBorder="1" applyAlignment="1">
      <alignment horizontal="left" vertical="center"/>
    </xf>
    <xf numFmtId="0" fontId="2" fillId="0" borderId="53" xfId="0" applyFont="1" applyBorder="1" applyAlignment="1">
      <alignment horizontal="left" vertical="center"/>
    </xf>
    <xf numFmtId="0" fontId="2" fillId="0" borderId="54" xfId="0" applyFont="1" applyBorder="1" applyAlignment="1">
      <alignment horizontal="left" vertical="center"/>
    </xf>
    <xf numFmtId="0" fontId="3" fillId="0" borderId="56" xfId="0" applyFont="1" applyBorder="1" applyAlignment="1">
      <alignment horizontal="left" vertical="center"/>
    </xf>
    <xf numFmtId="0" fontId="3" fillId="0" borderId="57" xfId="0" applyFont="1" applyBorder="1" applyAlignment="1">
      <alignment horizontal="left" vertical="center"/>
    </xf>
    <xf numFmtId="0" fontId="3" fillId="0" borderId="58" xfId="0" applyFont="1" applyBorder="1" applyAlignment="1">
      <alignment horizontal="left" vertical="center"/>
    </xf>
    <xf numFmtId="0" fontId="8" fillId="0" borderId="56" xfId="0" applyFont="1" applyBorder="1" applyAlignment="1">
      <alignment horizontal="left" vertical="center"/>
    </xf>
    <xf numFmtId="0" fontId="8" fillId="0" borderId="57" xfId="0" applyFont="1" applyBorder="1" applyAlignment="1">
      <alignment horizontal="left" vertical="center"/>
    </xf>
    <xf numFmtId="0" fontId="8" fillId="0" borderId="58" xfId="0" applyFont="1" applyBorder="1" applyAlignment="1">
      <alignment horizontal="left" vertical="center"/>
    </xf>
    <xf numFmtId="4" fontId="8" fillId="0" borderId="60" xfId="0" applyNumberFormat="1" applyFont="1" applyBorder="1" applyAlignment="1">
      <alignment horizontal="right" vertical="center"/>
    </xf>
    <xf numFmtId="0" fontId="8" fillId="0" borderId="57" xfId="0" applyFont="1" applyBorder="1" applyAlignment="1">
      <alignment horizontal="right" vertical="center"/>
    </xf>
    <xf numFmtId="0" fontId="8" fillId="0" borderId="58" xfId="0" applyFont="1" applyBorder="1" applyAlignment="1">
      <alignment horizontal="right" vertical="center"/>
    </xf>
    <xf numFmtId="0" fontId="2" fillId="0" borderId="61" xfId="0" applyFont="1" applyBorder="1" applyAlignment="1">
      <alignment horizontal="left" vertical="center"/>
    </xf>
    <xf numFmtId="0" fontId="2" fillId="0" borderId="47" xfId="0" applyFont="1" applyBorder="1" applyAlignment="1">
      <alignment horizontal="left" vertical="center"/>
    </xf>
    <xf numFmtId="0" fontId="2" fillId="0" borderId="62" xfId="0" applyFont="1" applyBorder="1" applyAlignment="1">
      <alignment horizontal="left" vertical="center"/>
    </xf>
    <xf numFmtId="0" fontId="3" fillId="0" borderId="65" xfId="0" applyFont="1" applyBorder="1" applyAlignment="1">
      <alignment horizontal="left" vertical="center"/>
    </xf>
    <xf numFmtId="0" fontId="3" fillId="0" borderId="66" xfId="0" applyFont="1" applyBorder="1" applyAlignment="1">
      <alignment horizontal="left" vertical="center"/>
    </xf>
    <xf numFmtId="0" fontId="3" fillId="0" borderId="74" xfId="0" applyFont="1" applyBorder="1" applyAlignment="1">
      <alignment horizontal="left" vertical="center"/>
    </xf>
    <xf numFmtId="0" fontId="3" fillId="0" borderId="75" xfId="0" applyFont="1" applyBorder="1" applyAlignment="1">
      <alignment horizontal="left" vertical="center"/>
    </xf>
    <xf numFmtId="0" fontId="3" fillId="0" borderId="48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3" fillId="0" borderId="69" xfId="0" applyFont="1" applyBorder="1" applyAlignment="1">
      <alignment horizontal="center" vertical="center"/>
    </xf>
    <xf numFmtId="0" fontId="3" fillId="0" borderId="70" xfId="0" applyFont="1" applyBorder="1" applyAlignment="1">
      <alignment horizontal="center" vertical="center"/>
    </xf>
    <xf numFmtId="0" fontId="3" fillId="0" borderId="83" xfId="0" applyFont="1" applyBorder="1" applyAlignment="1">
      <alignment horizontal="left" vertical="center"/>
    </xf>
    <xf numFmtId="0" fontId="11" fillId="0" borderId="5" xfId="0" applyFont="1" applyBorder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2" fillId="0" borderId="0" xfId="0" applyFont="1"/>
    <xf numFmtId="0" fontId="13" fillId="0" borderId="0" xfId="0" applyFont="1" applyAlignment="1">
      <alignment horizontal="left" vertical="center" wrapText="1"/>
    </xf>
    <xf numFmtId="0" fontId="13" fillId="0" borderId="6" xfId="0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/>
    </xf>
    <xf numFmtId="0" fontId="3" fillId="4" borderId="3" xfId="0" applyFont="1" applyFill="1" applyBorder="1" applyAlignment="1">
      <alignment horizontal="left" vertical="center"/>
    </xf>
    <xf numFmtId="0" fontId="3" fillId="4" borderId="0" xfId="0" applyFont="1" applyFill="1" applyAlignment="1">
      <alignment horizontal="left" vertical="center"/>
    </xf>
    <xf numFmtId="0" fontId="15" fillId="4" borderId="3" xfId="0" applyFont="1" applyFill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5" fillId="0" borderId="3" xfId="0" applyFont="1" applyBorder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6" fillId="0" borderId="1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65"/>
  <sheetViews>
    <sheetView tabSelected="1" workbookViewId="0">
      <selection activeCell="M68" sqref="M68"/>
    </sheetView>
  </sheetViews>
  <sheetFormatPr defaultColWidth="12.140625" defaultRowHeight="15" customHeight="1" x14ac:dyDescent="0.25"/>
  <cols>
    <col min="1" max="1" width="4.28515625" customWidth="1"/>
    <col min="2" max="2" width="7.85546875" customWidth="1"/>
    <col min="3" max="3" width="17.140625" customWidth="1"/>
    <col min="4" max="4" width="71.42578125" customWidth="1"/>
    <col min="5" max="5" width="11.42578125" customWidth="1"/>
    <col min="6" max="6" width="4.28515625" customWidth="1"/>
    <col min="7" max="7" width="11.7109375" customWidth="1"/>
    <col min="8" max="8" width="12.85546875" customWidth="1"/>
    <col min="9" max="10" width="22.85546875" customWidth="1"/>
    <col min="11" max="11" width="18.5703125" customWidth="1"/>
    <col min="230" max="231" width="12.140625" hidden="1"/>
    <col min="251" max="254" width="12.140625" hidden="1"/>
  </cols>
  <sheetData>
    <row r="1" spans="1:253" ht="54.75" customHeight="1" x14ac:dyDescent="0.25">
      <c r="A1" s="200" t="s">
        <v>259</v>
      </c>
      <c r="B1" s="86"/>
      <c r="C1" s="86"/>
      <c r="D1" s="86"/>
      <c r="E1" s="86"/>
      <c r="F1" s="86"/>
      <c r="G1" s="86"/>
      <c r="H1" s="86"/>
      <c r="I1" s="86"/>
      <c r="J1" s="86"/>
      <c r="K1" s="86"/>
    </row>
    <row r="2" spans="1:253" x14ac:dyDescent="0.25">
      <c r="A2" s="194" t="s">
        <v>1</v>
      </c>
      <c r="B2" s="88"/>
      <c r="C2" s="88"/>
      <c r="D2" s="94" t="str">
        <f>'Stavební rozpočet'!D2</f>
        <v>Nové hřiště v Hrubšicích etapa I.</v>
      </c>
      <c r="E2" s="196" t="s">
        <v>2</v>
      </c>
      <c r="F2" s="88"/>
      <c r="G2" s="97" t="str">
        <f>'Stavební rozpočet'!H2</f>
        <v xml:space="preserve"> </v>
      </c>
      <c r="H2" s="198" t="s">
        <v>3</v>
      </c>
      <c r="I2" s="189" t="s">
        <v>255</v>
      </c>
      <c r="J2" s="88"/>
      <c r="K2" s="98"/>
    </row>
    <row r="3" spans="1:253" ht="15" customHeight="1" x14ac:dyDescent="0.25">
      <c r="A3" s="89"/>
      <c r="B3" s="90"/>
      <c r="C3" s="90"/>
      <c r="D3" s="95"/>
      <c r="E3" s="90"/>
      <c r="F3" s="90"/>
      <c r="G3" s="90"/>
      <c r="H3" s="90"/>
      <c r="I3" s="90"/>
      <c r="J3" s="90"/>
      <c r="K3" s="99"/>
    </row>
    <row r="4" spans="1:253" x14ac:dyDescent="0.25">
      <c r="A4" s="195" t="s">
        <v>4</v>
      </c>
      <c r="B4" s="90"/>
      <c r="C4" s="90"/>
      <c r="D4" s="96" t="str">
        <f>'Stavební rozpočet'!D4</f>
        <v xml:space="preserve"> </v>
      </c>
      <c r="E4" s="197" t="s">
        <v>5</v>
      </c>
      <c r="F4" s="90"/>
      <c r="G4" s="96"/>
      <c r="H4" s="199" t="s">
        <v>6</v>
      </c>
      <c r="I4" s="186" t="s">
        <v>256</v>
      </c>
      <c r="J4" s="90"/>
      <c r="K4" s="99"/>
    </row>
    <row r="5" spans="1:253" ht="15" customHeight="1" x14ac:dyDescent="0.25">
      <c r="A5" s="89"/>
      <c r="B5" s="90"/>
      <c r="C5" s="90"/>
      <c r="D5" s="90"/>
      <c r="E5" s="90"/>
      <c r="F5" s="90"/>
      <c r="G5" s="90"/>
      <c r="H5" s="90"/>
      <c r="I5" s="90"/>
      <c r="J5" s="90"/>
      <c r="K5" s="99"/>
    </row>
    <row r="6" spans="1:253" x14ac:dyDescent="0.25">
      <c r="A6" s="195" t="s">
        <v>7</v>
      </c>
      <c r="B6" s="90"/>
      <c r="C6" s="90"/>
      <c r="D6" s="96" t="str">
        <f>'Stavební rozpočet'!D6</f>
        <v>k.ú. Hrubšice</v>
      </c>
      <c r="E6" s="197" t="s">
        <v>8</v>
      </c>
      <c r="F6" s="90"/>
      <c r="G6" s="96" t="str">
        <f>'Stavební rozpočet'!H6</f>
        <v xml:space="preserve"> </v>
      </c>
      <c r="H6" s="199" t="s">
        <v>9</v>
      </c>
      <c r="I6" s="96" t="str">
        <f>'Stavební rozpočet'!J6</f>
        <v> </v>
      </c>
      <c r="J6" s="90"/>
      <c r="K6" s="99"/>
    </row>
    <row r="7" spans="1:253" ht="15" customHeight="1" x14ac:dyDescent="0.25">
      <c r="A7" s="89"/>
      <c r="B7" s="90"/>
      <c r="C7" s="90"/>
      <c r="D7" s="90"/>
      <c r="E7" s="90"/>
      <c r="F7" s="90"/>
      <c r="G7" s="90"/>
      <c r="H7" s="90"/>
      <c r="I7" s="90"/>
      <c r="J7" s="90"/>
      <c r="K7" s="99"/>
    </row>
    <row r="8" spans="1:253" x14ac:dyDescent="0.25">
      <c r="A8" s="195" t="s">
        <v>10</v>
      </c>
      <c r="B8" s="90"/>
      <c r="C8" s="90"/>
      <c r="D8" s="96" t="str">
        <f>'Stavební rozpočet'!D8</f>
        <v xml:space="preserve"> </v>
      </c>
      <c r="E8" s="197" t="s">
        <v>11</v>
      </c>
      <c r="F8" s="90"/>
      <c r="G8" s="96" t="str">
        <f>'Stavební rozpočet'!H8</f>
        <v>18.09.2025</v>
      </c>
      <c r="H8" s="199" t="s">
        <v>12</v>
      </c>
      <c r="I8" s="96" t="str">
        <f>'Stavební rozpočet'!J8</f>
        <v>Ing.Jiří Dvořák</v>
      </c>
      <c r="J8" s="90"/>
      <c r="K8" s="99"/>
    </row>
    <row r="9" spans="1:253" x14ac:dyDescent="0.25">
      <c r="A9" s="92"/>
      <c r="B9" s="93"/>
      <c r="C9" s="93"/>
      <c r="D9" s="93"/>
      <c r="E9" s="93"/>
      <c r="F9" s="93"/>
      <c r="G9" s="93"/>
      <c r="H9" s="93"/>
      <c r="I9" s="93"/>
      <c r="J9" s="93"/>
      <c r="K9" s="100"/>
    </row>
    <row r="10" spans="1:253" x14ac:dyDescent="0.25">
      <c r="A10" s="8" t="s">
        <v>13</v>
      </c>
      <c r="B10" s="8" t="s">
        <v>14</v>
      </c>
      <c r="C10" s="8" t="s">
        <v>15</v>
      </c>
      <c r="D10" s="84" t="s">
        <v>16</v>
      </c>
      <c r="E10" s="85"/>
      <c r="F10" s="8" t="s">
        <v>17</v>
      </c>
      <c r="G10" s="8" t="s">
        <v>18</v>
      </c>
      <c r="H10" s="8" t="s">
        <v>19</v>
      </c>
      <c r="I10" s="8" t="s">
        <v>20</v>
      </c>
      <c r="J10" s="8" t="s">
        <v>21</v>
      </c>
      <c r="K10" s="9" t="s">
        <v>22</v>
      </c>
      <c r="HV10" s="10" t="s">
        <v>23</v>
      </c>
      <c r="HW10" s="10" t="s">
        <v>24</v>
      </c>
    </row>
    <row r="11" spans="1:253" x14ac:dyDescent="0.25">
      <c r="A11" s="11" t="s">
        <v>25</v>
      </c>
      <c r="B11" s="12" t="s">
        <v>26</v>
      </c>
      <c r="C11" s="12" t="s">
        <v>27</v>
      </c>
      <c r="D11" s="101" t="s">
        <v>28</v>
      </c>
      <c r="E11" s="102"/>
      <c r="F11" s="12" t="s">
        <v>25</v>
      </c>
      <c r="G11" s="13" t="s">
        <v>25</v>
      </c>
      <c r="H11" s="13" t="s">
        <v>25</v>
      </c>
      <c r="I11" s="13" t="s">
        <v>25</v>
      </c>
      <c r="J11" s="14">
        <f>J12+J15+J18+J21+J24+J28+J31+J34+J37</f>
        <v>0</v>
      </c>
      <c r="K11" s="15" t="s">
        <v>25</v>
      </c>
    </row>
    <row r="12" spans="1:253" x14ac:dyDescent="0.25">
      <c r="A12" s="16" t="s">
        <v>25</v>
      </c>
      <c r="B12" s="17" t="s">
        <v>26</v>
      </c>
      <c r="C12" s="17" t="s">
        <v>29</v>
      </c>
      <c r="D12" s="103" t="s">
        <v>30</v>
      </c>
      <c r="E12" s="104"/>
      <c r="F12" s="17" t="s">
        <v>25</v>
      </c>
      <c r="G12" s="18" t="s">
        <v>25</v>
      </c>
      <c r="H12" s="18" t="s">
        <v>25</v>
      </c>
      <c r="I12" s="18" t="s">
        <v>25</v>
      </c>
      <c r="J12" s="19">
        <f>SUM(J13:J13)</f>
        <v>0</v>
      </c>
      <c r="K12" s="20" t="s">
        <v>25</v>
      </c>
    </row>
    <row r="13" spans="1:253" x14ac:dyDescent="0.25">
      <c r="A13" s="21">
        <v>1</v>
      </c>
      <c r="B13" s="2" t="s">
        <v>26</v>
      </c>
      <c r="C13" s="2" t="s">
        <v>31</v>
      </c>
      <c r="D13" s="96" t="s">
        <v>32</v>
      </c>
      <c r="E13" s="90"/>
      <c r="F13" s="2" t="s">
        <v>33</v>
      </c>
      <c r="G13" s="22">
        <v>21</v>
      </c>
      <c r="H13" s="23">
        <v>15.78</v>
      </c>
      <c r="I13" s="23"/>
      <c r="J13" s="23">
        <f>ROUND(IR13*H13+IS13*H13,2)</f>
        <v>0</v>
      </c>
      <c r="K13" s="4" t="s">
        <v>34</v>
      </c>
      <c r="HV13" s="2" t="s">
        <v>29</v>
      </c>
      <c r="HW13" s="2" t="s">
        <v>35</v>
      </c>
      <c r="IR13" s="24">
        <f>I13*0</f>
        <v>0</v>
      </c>
      <c r="IS13" s="24">
        <f>I13*(1-0)</f>
        <v>0</v>
      </c>
    </row>
    <row r="14" spans="1:253" s="185" customFormat="1" ht="27" customHeight="1" x14ac:dyDescent="0.25">
      <c r="A14" s="180"/>
      <c r="B14" s="181"/>
      <c r="C14" s="181"/>
      <c r="D14" s="182" t="s">
        <v>37</v>
      </c>
      <c r="E14" s="183"/>
      <c r="F14" s="183"/>
      <c r="G14" s="183"/>
      <c r="H14" s="183"/>
      <c r="I14" s="183"/>
      <c r="J14" s="183"/>
      <c r="K14" s="184"/>
    </row>
    <row r="15" spans="1:253" x14ac:dyDescent="0.25">
      <c r="A15" s="16" t="s">
        <v>25</v>
      </c>
      <c r="B15" s="17" t="s">
        <v>26</v>
      </c>
      <c r="C15" s="17" t="s">
        <v>38</v>
      </c>
      <c r="D15" s="103" t="s">
        <v>39</v>
      </c>
      <c r="E15" s="104"/>
      <c r="F15" s="17" t="s">
        <v>25</v>
      </c>
      <c r="G15" s="18" t="s">
        <v>25</v>
      </c>
      <c r="H15" s="18" t="s">
        <v>25</v>
      </c>
      <c r="I15" s="18" t="s">
        <v>25</v>
      </c>
      <c r="J15" s="19">
        <f>SUM(J16:J16)</f>
        <v>0</v>
      </c>
      <c r="K15" s="20" t="s">
        <v>25</v>
      </c>
    </row>
    <row r="16" spans="1:253" x14ac:dyDescent="0.25">
      <c r="A16" s="21">
        <v>2</v>
      </c>
      <c r="B16" s="2" t="s">
        <v>26</v>
      </c>
      <c r="C16" s="2" t="s">
        <v>40</v>
      </c>
      <c r="D16" s="96" t="s">
        <v>41</v>
      </c>
      <c r="E16" s="90"/>
      <c r="F16" s="2" t="s">
        <v>33</v>
      </c>
      <c r="G16" s="22">
        <v>21</v>
      </c>
      <c r="H16" s="23">
        <v>5.04</v>
      </c>
      <c r="I16" s="23"/>
      <c r="J16" s="23">
        <f>ROUND(IR16*H16+IS16*H16,2)</f>
        <v>0</v>
      </c>
      <c r="K16" s="4" t="s">
        <v>34</v>
      </c>
      <c r="HV16" s="2" t="s">
        <v>38</v>
      </c>
      <c r="HW16" s="2" t="s">
        <v>35</v>
      </c>
      <c r="IR16" s="24">
        <f>I16*0.659813842</f>
        <v>0</v>
      </c>
      <c r="IS16" s="24">
        <f>I16*(1-0.659813842)</f>
        <v>0</v>
      </c>
    </row>
    <row r="17" spans="1:253" s="185" customFormat="1" ht="13.5" customHeight="1" x14ac:dyDescent="0.25">
      <c r="A17" s="180"/>
      <c r="B17" s="181"/>
      <c r="C17" s="181"/>
      <c r="D17" s="182" t="s">
        <v>42</v>
      </c>
      <c r="E17" s="183"/>
      <c r="F17" s="183"/>
      <c r="G17" s="183"/>
      <c r="H17" s="183"/>
      <c r="I17" s="183"/>
      <c r="J17" s="183"/>
      <c r="K17" s="184"/>
    </row>
    <row r="18" spans="1:253" x14ac:dyDescent="0.25">
      <c r="A18" s="16" t="s">
        <v>25</v>
      </c>
      <c r="B18" s="17" t="s">
        <v>26</v>
      </c>
      <c r="C18" s="17" t="s">
        <v>43</v>
      </c>
      <c r="D18" s="103" t="s">
        <v>44</v>
      </c>
      <c r="E18" s="104"/>
      <c r="F18" s="17" t="s">
        <v>25</v>
      </c>
      <c r="G18" s="18" t="s">
        <v>25</v>
      </c>
      <c r="H18" s="18" t="s">
        <v>25</v>
      </c>
      <c r="I18" s="18" t="s">
        <v>25</v>
      </c>
      <c r="J18" s="19">
        <f>SUM(J19:J19)</f>
        <v>0</v>
      </c>
      <c r="K18" s="20" t="s">
        <v>25</v>
      </c>
    </row>
    <row r="19" spans="1:253" x14ac:dyDescent="0.25">
      <c r="A19" s="21">
        <v>3</v>
      </c>
      <c r="B19" s="2" t="s">
        <v>26</v>
      </c>
      <c r="C19" s="2" t="s">
        <v>45</v>
      </c>
      <c r="D19" s="96" t="s">
        <v>46</v>
      </c>
      <c r="E19" s="90"/>
      <c r="F19" s="2" t="s">
        <v>47</v>
      </c>
      <c r="G19" s="22">
        <v>21</v>
      </c>
      <c r="H19" s="23">
        <v>35</v>
      </c>
      <c r="I19" s="23"/>
      <c r="J19" s="23">
        <f>ROUND(IR19*H19+IS19*H19,2)</f>
        <v>0</v>
      </c>
      <c r="K19" s="4" t="s">
        <v>34</v>
      </c>
      <c r="HV19" s="2" t="s">
        <v>43</v>
      </c>
      <c r="HW19" s="2" t="s">
        <v>35</v>
      </c>
      <c r="IR19" s="24">
        <f>I19*0.255215947</f>
        <v>0</v>
      </c>
      <c r="IS19" s="24">
        <f>I19*(1-0.255215947)</f>
        <v>0</v>
      </c>
    </row>
    <row r="20" spans="1:253" s="185" customFormat="1" ht="13.5" customHeight="1" x14ac:dyDescent="0.25">
      <c r="A20" s="180"/>
      <c r="B20" s="181"/>
      <c r="C20" s="181"/>
      <c r="D20" s="182" t="s">
        <v>48</v>
      </c>
      <c r="E20" s="183"/>
      <c r="F20" s="183"/>
      <c r="G20" s="183"/>
      <c r="H20" s="183"/>
      <c r="I20" s="183"/>
      <c r="J20" s="183"/>
      <c r="K20" s="184"/>
    </row>
    <row r="21" spans="1:253" x14ac:dyDescent="0.25">
      <c r="A21" s="16" t="s">
        <v>25</v>
      </c>
      <c r="B21" s="17" t="s">
        <v>26</v>
      </c>
      <c r="C21" s="17" t="s">
        <v>49</v>
      </c>
      <c r="D21" s="103" t="s">
        <v>50</v>
      </c>
      <c r="E21" s="104"/>
      <c r="F21" s="17" t="s">
        <v>25</v>
      </c>
      <c r="G21" s="18" t="s">
        <v>25</v>
      </c>
      <c r="H21" s="18" t="s">
        <v>25</v>
      </c>
      <c r="I21" s="18" t="s">
        <v>25</v>
      </c>
      <c r="J21" s="19">
        <f>SUM(J22:J22)</f>
        <v>0</v>
      </c>
      <c r="K21" s="20" t="s">
        <v>25</v>
      </c>
    </row>
    <row r="22" spans="1:253" x14ac:dyDescent="0.25">
      <c r="A22" s="21">
        <v>4</v>
      </c>
      <c r="B22" s="2" t="s">
        <v>26</v>
      </c>
      <c r="C22" s="2" t="s">
        <v>51</v>
      </c>
      <c r="D22" s="96" t="s">
        <v>52</v>
      </c>
      <c r="E22" s="90"/>
      <c r="F22" s="2" t="s">
        <v>47</v>
      </c>
      <c r="G22" s="22">
        <v>21</v>
      </c>
      <c r="H22" s="23">
        <v>3.48</v>
      </c>
      <c r="I22" s="23"/>
      <c r="J22" s="23">
        <f>ROUND(IR22*H22+IS22*H22,2)</f>
        <v>0</v>
      </c>
      <c r="K22" s="4" t="s">
        <v>34</v>
      </c>
      <c r="HV22" s="2" t="s">
        <v>49</v>
      </c>
      <c r="HW22" s="2" t="s">
        <v>35</v>
      </c>
      <c r="IR22" s="24">
        <f>I22*0.721364164</f>
        <v>0</v>
      </c>
      <c r="IS22" s="24">
        <f>I22*(1-0.721364164)</f>
        <v>0</v>
      </c>
    </row>
    <row r="23" spans="1:253" s="185" customFormat="1" ht="13.5" customHeight="1" x14ac:dyDescent="0.25">
      <c r="A23" s="180"/>
      <c r="B23" s="181"/>
      <c r="C23" s="181"/>
      <c r="D23" s="182" t="s">
        <v>53</v>
      </c>
      <c r="E23" s="183"/>
      <c r="F23" s="183"/>
      <c r="G23" s="183"/>
      <c r="H23" s="183"/>
      <c r="I23" s="183"/>
      <c r="J23" s="183"/>
      <c r="K23" s="184"/>
    </row>
    <row r="24" spans="1:253" x14ac:dyDescent="0.25">
      <c r="A24" s="16" t="s">
        <v>25</v>
      </c>
      <c r="B24" s="17" t="s">
        <v>26</v>
      </c>
      <c r="C24" s="17" t="s">
        <v>54</v>
      </c>
      <c r="D24" s="103" t="s">
        <v>55</v>
      </c>
      <c r="E24" s="104"/>
      <c r="F24" s="17" t="s">
        <v>25</v>
      </c>
      <c r="G24" s="18" t="s">
        <v>25</v>
      </c>
      <c r="H24" s="18" t="s">
        <v>25</v>
      </c>
      <c r="I24" s="18" t="s">
        <v>25</v>
      </c>
      <c r="J24" s="19">
        <f>SUM(J25:J25)</f>
        <v>0</v>
      </c>
      <c r="K24" s="20" t="s">
        <v>25</v>
      </c>
    </row>
    <row r="25" spans="1:253" ht="26.25" customHeight="1" x14ac:dyDescent="0.25">
      <c r="A25" s="21">
        <v>5</v>
      </c>
      <c r="B25" s="2" t="s">
        <v>26</v>
      </c>
      <c r="C25" s="2" t="s">
        <v>56</v>
      </c>
      <c r="D25" s="186" t="s">
        <v>247</v>
      </c>
      <c r="E25" s="96"/>
      <c r="F25" s="2" t="s">
        <v>58</v>
      </c>
      <c r="G25" s="22">
        <v>21</v>
      </c>
      <c r="H25" s="23">
        <v>11.95</v>
      </c>
      <c r="I25" s="23"/>
      <c r="J25" s="23">
        <f>ROUND(IR25*H25+IS25*H25,2)</f>
        <v>0</v>
      </c>
      <c r="K25" s="4" t="s">
        <v>34</v>
      </c>
      <c r="HV25" s="2" t="s">
        <v>54</v>
      </c>
      <c r="HW25" s="2" t="s">
        <v>35</v>
      </c>
      <c r="IR25" s="24">
        <f>I25*0.779791637</f>
        <v>0</v>
      </c>
      <c r="IS25" s="24">
        <f>I25*(1-0.779791637)</f>
        <v>0</v>
      </c>
    </row>
    <row r="26" spans="1:253" s="185" customFormat="1" ht="13.5" customHeight="1" x14ac:dyDescent="0.25">
      <c r="A26" s="180"/>
      <c r="B26" s="181"/>
      <c r="C26" s="181"/>
      <c r="D26" s="182" t="s">
        <v>59</v>
      </c>
      <c r="E26" s="183"/>
      <c r="F26" s="183"/>
      <c r="G26" s="183"/>
      <c r="H26" s="183"/>
      <c r="I26" s="183"/>
      <c r="J26" s="183"/>
      <c r="K26" s="184"/>
    </row>
    <row r="27" spans="1:253" s="185" customFormat="1" ht="13.5" customHeight="1" x14ac:dyDescent="0.25">
      <c r="A27" s="180" t="s">
        <v>60</v>
      </c>
      <c r="B27" s="181"/>
      <c r="C27" s="181"/>
      <c r="D27" s="182" t="s">
        <v>61</v>
      </c>
      <c r="E27" s="183"/>
      <c r="F27" s="183"/>
      <c r="G27" s="183"/>
      <c r="H27" s="183"/>
      <c r="I27" s="183"/>
      <c r="J27" s="183"/>
      <c r="K27" s="184"/>
    </row>
    <row r="28" spans="1:253" x14ac:dyDescent="0.25">
      <c r="A28" s="16" t="s">
        <v>25</v>
      </c>
      <c r="B28" s="17" t="s">
        <v>26</v>
      </c>
      <c r="C28" s="17" t="s">
        <v>62</v>
      </c>
      <c r="D28" s="103" t="s">
        <v>63</v>
      </c>
      <c r="E28" s="104"/>
      <c r="F28" s="17" t="s">
        <v>25</v>
      </c>
      <c r="G28" s="18" t="s">
        <v>25</v>
      </c>
      <c r="H28" s="18" t="s">
        <v>25</v>
      </c>
      <c r="I28" s="18" t="s">
        <v>25</v>
      </c>
      <c r="J28" s="19">
        <f>SUM(J29:J29)</f>
        <v>0</v>
      </c>
      <c r="K28" s="20" t="s">
        <v>25</v>
      </c>
    </row>
    <row r="29" spans="1:253" x14ac:dyDescent="0.25">
      <c r="A29" s="21">
        <v>6</v>
      </c>
      <c r="B29" s="2" t="s">
        <v>26</v>
      </c>
      <c r="C29" s="2" t="s">
        <v>64</v>
      </c>
      <c r="D29" s="186" t="s">
        <v>254</v>
      </c>
      <c r="E29" s="90"/>
      <c r="F29" s="2" t="s">
        <v>33</v>
      </c>
      <c r="G29" s="22">
        <v>21</v>
      </c>
      <c r="H29" s="23">
        <v>13.44</v>
      </c>
      <c r="I29" s="23"/>
      <c r="J29" s="23">
        <f>ROUND(IR29*H29+IS29*H29,2)</f>
        <v>0</v>
      </c>
      <c r="K29" s="4" t="s">
        <v>34</v>
      </c>
      <c r="HV29" s="2" t="s">
        <v>62</v>
      </c>
      <c r="HW29" s="2" t="s">
        <v>35</v>
      </c>
      <c r="IR29" s="24">
        <f>I29*0.185166917</f>
        <v>0</v>
      </c>
      <c r="IS29" s="24">
        <f>I29*(1-0.185166917)</f>
        <v>0</v>
      </c>
    </row>
    <row r="30" spans="1:253" s="185" customFormat="1" ht="13.5" customHeight="1" x14ac:dyDescent="0.25">
      <c r="A30" s="180"/>
      <c r="B30" s="181"/>
      <c r="C30" s="181"/>
      <c r="D30" s="182" t="s">
        <v>66</v>
      </c>
      <c r="E30" s="183"/>
      <c r="F30" s="183"/>
      <c r="G30" s="183"/>
      <c r="H30" s="183"/>
      <c r="I30" s="183"/>
      <c r="J30" s="183"/>
      <c r="K30" s="184"/>
    </row>
    <row r="31" spans="1:253" x14ac:dyDescent="0.25">
      <c r="A31" s="16" t="s">
        <v>25</v>
      </c>
      <c r="B31" s="17" t="s">
        <v>26</v>
      </c>
      <c r="C31" s="17" t="s">
        <v>67</v>
      </c>
      <c r="D31" s="103" t="s">
        <v>68</v>
      </c>
      <c r="E31" s="104"/>
      <c r="F31" s="17" t="s">
        <v>25</v>
      </c>
      <c r="G31" s="18" t="s">
        <v>25</v>
      </c>
      <c r="H31" s="18" t="s">
        <v>25</v>
      </c>
      <c r="I31" s="18" t="s">
        <v>25</v>
      </c>
      <c r="J31" s="19">
        <f>SUM(J32:J32)</f>
        <v>0</v>
      </c>
      <c r="K31" s="20" t="s">
        <v>25</v>
      </c>
    </row>
    <row r="32" spans="1:253" x14ac:dyDescent="0.25">
      <c r="A32" s="21">
        <v>7</v>
      </c>
      <c r="B32" s="2" t="s">
        <v>26</v>
      </c>
      <c r="C32" s="2" t="s">
        <v>69</v>
      </c>
      <c r="D32" s="96" t="s">
        <v>70</v>
      </c>
      <c r="E32" s="90"/>
      <c r="F32" s="2" t="s">
        <v>71</v>
      </c>
      <c r="G32" s="22">
        <v>21</v>
      </c>
      <c r="H32" s="23">
        <v>1</v>
      </c>
      <c r="I32" s="23"/>
      <c r="J32" s="23">
        <f>ROUND(IR32*H32+IS32*H32,2)</f>
        <v>0</v>
      </c>
      <c r="K32" s="187" t="s">
        <v>252</v>
      </c>
      <c r="HV32" s="2" t="s">
        <v>67</v>
      </c>
      <c r="HW32" s="2" t="s">
        <v>35</v>
      </c>
      <c r="IR32" s="24">
        <f>I32*0</f>
        <v>0</v>
      </c>
      <c r="IS32" s="24">
        <f>I32*(1-0)</f>
        <v>0</v>
      </c>
    </row>
    <row r="33" spans="1:253" ht="13.5" customHeight="1" x14ac:dyDescent="0.25">
      <c r="A33" s="105"/>
      <c r="B33" s="106"/>
      <c r="C33" s="106"/>
      <c r="D33" s="107" t="s">
        <v>72</v>
      </c>
      <c r="E33" s="108"/>
      <c r="F33" s="108"/>
      <c r="G33" s="108"/>
      <c r="H33" s="108"/>
      <c r="I33" s="108"/>
      <c r="J33" s="108"/>
      <c r="K33" s="109"/>
    </row>
    <row r="34" spans="1:253" x14ac:dyDescent="0.25">
      <c r="A34" s="16" t="s">
        <v>25</v>
      </c>
      <c r="B34" s="17" t="s">
        <v>26</v>
      </c>
      <c r="C34" s="17" t="s">
        <v>73</v>
      </c>
      <c r="D34" s="103" t="s">
        <v>74</v>
      </c>
      <c r="E34" s="104"/>
      <c r="F34" s="17" t="s">
        <v>25</v>
      </c>
      <c r="G34" s="18" t="s">
        <v>25</v>
      </c>
      <c r="H34" s="18" t="s">
        <v>25</v>
      </c>
      <c r="I34" s="18" t="s">
        <v>25</v>
      </c>
      <c r="J34" s="19">
        <f>SUM(J35:J35)</f>
        <v>0</v>
      </c>
      <c r="K34" s="20" t="s">
        <v>25</v>
      </c>
    </row>
    <row r="35" spans="1:253" x14ac:dyDescent="0.25">
      <c r="A35" s="21">
        <v>8</v>
      </c>
      <c r="B35" s="2" t="s">
        <v>26</v>
      </c>
      <c r="C35" s="2" t="s">
        <v>75</v>
      </c>
      <c r="D35" s="96" t="s">
        <v>76</v>
      </c>
      <c r="E35" s="90"/>
      <c r="F35" s="2" t="s">
        <v>33</v>
      </c>
      <c r="G35" s="22">
        <v>21</v>
      </c>
      <c r="H35" s="23">
        <v>17.535</v>
      </c>
      <c r="I35" s="23"/>
      <c r="J35" s="23">
        <f>ROUND(IR35*H35+IS35*H35,2)</f>
        <v>0</v>
      </c>
      <c r="K35" s="4" t="s">
        <v>34</v>
      </c>
      <c r="HV35" s="2" t="s">
        <v>73</v>
      </c>
      <c r="HW35" s="2" t="s">
        <v>35</v>
      </c>
      <c r="IR35" s="24">
        <f>I35*0</f>
        <v>0</v>
      </c>
      <c r="IS35" s="24">
        <f>I35*(1-0)</f>
        <v>0</v>
      </c>
    </row>
    <row r="36" spans="1:253" s="185" customFormat="1" ht="13.5" customHeight="1" x14ac:dyDescent="0.25">
      <c r="A36" s="180"/>
      <c r="B36" s="181"/>
      <c r="C36" s="181"/>
      <c r="D36" s="182" t="s">
        <v>77</v>
      </c>
      <c r="E36" s="183"/>
      <c r="F36" s="183"/>
      <c r="G36" s="183"/>
      <c r="H36" s="183"/>
      <c r="I36" s="183"/>
      <c r="J36" s="183"/>
      <c r="K36" s="184"/>
    </row>
    <row r="37" spans="1:253" x14ac:dyDescent="0.25">
      <c r="A37" s="16" t="s">
        <v>25</v>
      </c>
      <c r="B37" s="17" t="s">
        <v>26</v>
      </c>
      <c r="C37" s="17" t="s">
        <v>78</v>
      </c>
      <c r="D37" s="103" t="s">
        <v>79</v>
      </c>
      <c r="E37" s="104"/>
      <c r="F37" s="17" t="s">
        <v>25</v>
      </c>
      <c r="G37" s="18" t="s">
        <v>25</v>
      </c>
      <c r="H37" s="18" t="s">
        <v>25</v>
      </c>
      <c r="I37" s="18" t="s">
        <v>25</v>
      </c>
      <c r="J37" s="19">
        <f>SUM(J38:J38)</f>
        <v>0</v>
      </c>
      <c r="K37" s="20" t="s">
        <v>25</v>
      </c>
    </row>
    <row r="38" spans="1:253" x14ac:dyDescent="0.25">
      <c r="A38" s="21">
        <v>9</v>
      </c>
      <c r="B38" s="2" t="s">
        <v>26</v>
      </c>
      <c r="C38" s="2" t="s">
        <v>80</v>
      </c>
      <c r="D38" s="96" t="s">
        <v>81</v>
      </c>
      <c r="E38" s="90"/>
      <c r="F38" s="2" t="s">
        <v>82</v>
      </c>
      <c r="G38" s="22">
        <v>21</v>
      </c>
      <c r="H38" s="23">
        <v>34.99</v>
      </c>
      <c r="I38" s="23"/>
      <c r="J38" s="23">
        <f>ROUND(IR38*H38+IS38*H38,2)</f>
        <v>0</v>
      </c>
      <c r="K38" s="4" t="s">
        <v>34</v>
      </c>
      <c r="HV38" s="2" t="s">
        <v>78</v>
      </c>
      <c r="HW38" s="2" t="s">
        <v>35</v>
      </c>
      <c r="IR38" s="24">
        <f>I38*0</f>
        <v>0</v>
      </c>
      <c r="IS38" s="24">
        <f>I38*(1-0)</f>
        <v>0</v>
      </c>
    </row>
    <row r="39" spans="1:253" ht="27" customHeight="1" x14ac:dyDescent="0.25">
      <c r="A39" s="105"/>
      <c r="B39" s="106"/>
      <c r="C39" s="106"/>
      <c r="D39" s="182" t="s">
        <v>83</v>
      </c>
      <c r="E39" s="183"/>
      <c r="F39" s="183"/>
      <c r="G39" s="183"/>
      <c r="H39" s="183"/>
      <c r="I39" s="183"/>
      <c r="J39" s="183"/>
      <c r="K39" s="184"/>
    </row>
    <row r="40" spans="1:253" s="185" customFormat="1" ht="13.5" customHeight="1" x14ac:dyDescent="0.25">
      <c r="A40" s="180" t="s">
        <v>60</v>
      </c>
      <c r="B40" s="181"/>
      <c r="C40" s="181"/>
      <c r="D40" s="182" t="s">
        <v>84</v>
      </c>
      <c r="E40" s="183"/>
      <c r="F40" s="183"/>
      <c r="G40" s="183"/>
      <c r="H40" s="183"/>
      <c r="I40" s="183"/>
      <c r="J40" s="183"/>
      <c r="K40" s="184"/>
    </row>
    <row r="41" spans="1:253" x14ac:dyDescent="0.25">
      <c r="A41" s="16" t="s">
        <v>25</v>
      </c>
      <c r="B41" s="17" t="s">
        <v>85</v>
      </c>
      <c r="C41" s="17" t="s">
        <v>27</v>
      </c>
      <c r="D41" s="103" t="s">
        <v>86</v>
      </c>
      <c r="E41" s="104"/>
      <c r="F41" s="17" t="s">
        <v>25</v>
      </c>
      <c r="G41" s="18" t="s">
        <v>25</v>
      </c>
      <c r="H41" s="18" t="s">
        <v>25</v>
      </c>
      <c r="I41" s="18" t="s">
        <v>25</v>
      </c>
      <c r="J41" s="19">
        <f>J42+J47+J49+J52</f>
        <v>0</v>
      </c>
      <c r="K41" s="20" t="s">
        <v>25</v>
      </c>
    </row>
    <row r="42" spans="1:253" x14ac:dyDescent="0.25">
      <c r="A42" s="16" t="s">
        <v>25</v>
      </c>
      <c r="B42" s="17" t="s">
        <v>85</v>
      </c>
      <c r="C42" s="17" t="s">
        <v>87</v>
      </c>
      <c r="D42" s="103" t="s">
        <v>28</v>
      </c>
      <c r="E42" s="104"/>
      <c r="F42" s="17" t="s">
        <v>25</v>
      </c>
      <c r="G42" s="18" t="s">
        <v>25</v>
      </c>
      <c r="H42" s="18" t="s">
        <v>25</v>
      </c>
      <c r="I42" s="18" t="s">
        <v>25</v>
      </c>
      <c r="J42" s="19">
        <f>SUM(J43:J45)</f>
        <v>0</v>
      </c>
      <c r="K42" s="20" t="s">
        <v>25</v>
      </c>
    </row>
    <row r="43" spans="1:253" x14ac:dyDescent="0.25">
      <c r="A43" s="21">
        <v>10</v>
      </c>
      <c r="B43" s="2" t="s">
        <v>85</v>
      </c>
      <c r="C43" s="2" t="s">
        <v>88</v>
      </c>
      <c r="D43" s="96" t="s">
        <v>89</v>
      </c>
      <c r="E43" s="90"/>
      <c r="F43" s="2" t="s">
        <v>47</v>
      </c>
      <c r="G43" s="22">
        <v>21</v>
      </c>
      <c r="H43" s="23">
        <v>50</v>
      </c>
      <c r="I43" s="23"/>
      <c r="J43" s="23">
        <f>ROUND(IR43*H43+IS43*H43,2)</f>
        <v>0</v>
      </c>
      <c r="K43" s="4" t="s">
        <v>34</v>
      </c>
      <c r="HV43" s="2" t="s">
        <v>87</v>
      </c>
      <c r="HW43" s="2" t="s">
        <v>35</v>
      </c>
      <c r="IR43" s="24">
        <f>I43*0</f>
        <v>0</v>
      </c>
      <c r="IS43" s="24">
        <f>I43*(1-0)</f>
        <v>0</v>
      </c>
    </row>
    <row r="44" spans="1:253" s="185" customFormat="1" ht="23.25" customHeight="1" x14ac:dyDescent="0.25">
      <c r="A44" s="180"/>
      <c r="B44" s="181"/>
      <c r="C44" s="181"/>
      <c r="D44" s="182" t="s">
        <v>253</v>
      </c>
      <c r="E44" s="183"/>
      <c r="F44" s="183"/>
      <c r="G44" s="183"/>
      <c r="H44" s="183"/>
      <c r="I44" s="183"/>
      <c r="J44" s="183"/>
      <c r="K44" s="184"/>
    </row>
    <row r="45" spans="1:253" x14ac:dyDescent="0.25">
      <c r="A45" s="21">
        <v>11</v>
      </c>
      <c r="B45" s="2" t="s">
        <v>85</v>
      </c>
      <c r="C45" s="2" t="s">
        <v>91</v>
      </c>
      <c r="D45" s="96" t="s">
        <v>92</v>
      </c>
      <c r="E45" s="90"/>
      <c r="F45" s="2" t="s">
        <v>47</v>
      </c>
      <c r="G45" s="22">
        <v>21</v>
      </c>
      <c r="H45" s="23">
        <v>50</v>
      </c>
      <c r="I45" s="23"/>
      <c r="J45" s="23">
        <f>ROUND(IR45*H45+IS45*H45,2)</f>
        <v>0</v>
      </c>
      <c r="K45" s="4" t="s">
        <v>34</v>
      </c>
      <c r="HV45" s="2" t="s">
        <v>87</v>
      </c>
      <c r="HW45" s="2" t="s">
        <v>35</v>
      </c>
      <c r="IR45" s="24">
        <f>I45*0</f>
        <v>0</v>
      </c>
      <c r="IS45" s="24">
        <f>I45*(1-0)</f>
        <v>0</v>
      </c>
    </row>
    <row r="46" spans="1:253" s="185" customFormat="1" ht="13.5" customHeight="1" x14ac:dyDescent="0.25">
      <c r="A46" s="180"/>
      <c r="B46" s="181"/>
      <c r="C46" s="181"/>
      <c r="D46" s="182" t="s">
        <v>93</v>
      </c>
      <c r="E46" s="183"/>
      <c r="F46" s="183"/>
      <c r="G46" s="183"/>
      <c r="H46" s="183"/>
      <c r="I46" s="183"/>
      <c r="J46" s="183"/>
      <c r="K46" s="184"/>
    </row>
    <row r="47" spans="1:253" x14ac:dyDescent="0.25">
      <c r="A47" s="16" t="s">
        <v>25</v>
      </c>
      <c r="B47" s="17" t="s">
        <v>85</v>
      </c>
      <c r="C47" s="17" t="s">
        <v>62</v>
      </c>
      <c r="D47" s="103" t="s">
        <v>63</v>
      </c>
      <c r="E47" s="104"/>
      <c r="F47" s="17" t="s">
        <v>25</v>
      </c>
      <c r="G47" s="18" t="s">
        <v>25</v>
      </c>
      <c r="H47" s="18" t="s">
        <v>25</v>
      </c>
      <c r="I47" s="18" t="s">
        <v>25</v>
      </c>
      <c r="J47" s="19">
        <f>SUM(J48:J48)</f>
        <v>0</v>
      </c>
      <c r="K47" s="20" t="s">
        <v>25</v>
      </c>
    </row>
    <row r="48" spans="1:253" x14ac:dyDescent="0.25">
      <c r="A48" s="21">
        <v>12</v>
      </c>
      <c r="B48" s="2" t="s">
        <v>85</v>
      </c>
      <c r="C48" s="2" t="s">
        <v>94</v>
      </c>
      <c r="D48" s="186" t="s">
        <v>258</v>
      </c>
      <c r="E48" s="90"/>
      <c r="F48" s="2" t="s">
        <v>96</v>
      </c>
      <c r="G48" s="22">
        <v>21</v>
      </c>
      <c r="H48" s="23">
        <v>2</v>
      </c>
      <c r="I48" s="23"/>
      <c r="J48" s="23">
        <f>ROUND(IR48*H48+IS48*H48,2)</f>
        <v>0</v>
      </c>
      <c r="K48" s="4" t="s">
        <v>34</v>
      </c>
      <c r="HV48" s="2" t="s">
        <v>62</v>
      </c>
      <c r="HW48" s="2" t="s">
        <v>35</v>
      </c>
      <c r="IR48" s="24">
        <f>I48*0.207547257</f>
        <v>0</v>
      </c>
      <c r="IS48" s="24">
        <f>I48*(1-0.207547257)</f>
        <v>0</v>
      </c>
    </row>
    <row r="49" spans="1:253" x14ac:dyDescent="0.25">
      <c r="A49" s="16" t="s">
        <v>25</v>
      </c>
      <c r="B49" s="17" t="s">
        <v>85</v>
      </c>
      <c r="C49" s="17" t="s">
        <v>97</v>
      </c>
      <c r="D49" s="103" t="s">
        <v>98</v>
      </c>
      <c r="E49" s="104"/>
      <c r="F49" s="17" t="s">
        <v>25</v>
      </c>
      <c r="G49" s="18" t="s">
        <v>25</v>
      </c>
      <c r="H49" s="18" t="s">
        <v>25</v>
      </c>
      <c r="I49" s="18" t="s">
        <v>25</v>
      </c>
      <c r="J49" s="19">
        <f>SUM(J50:J50)</f>
        <v>0</v>
      </c>
      <c r="K49" s="20" t="s">
        <v>25</v>
      </c>
    </row>
    <row r="50" spans="1:253" x14ac:dyDescent="0.25">
      <c r="A50" s="21">
        <v>13</v>
      </c>
      <c r="B50" s="2" t="s">
        <v>85</v>
      </c>
      <c r="C50" s="2" t="s">
        <v>99</v>
      </c>
      <c r="D50" s="96" t="s">
        <v>100</v>
      </c>
      <c r="E50" s="90"/>
      <c r="F50" s="2" t="s">
        <v>246</v>
      </c>
      <c r="G50" s="22">
        <v>21</v>
      </c>
      <c r="H50" s="23">
        <v>8</v>
      </c>
      <c r="I50" s="23"/>
      <c r="J50" s="23">
        <f>ROUND(IR50*H50+IS50*H50,2)</f>
        <v>0</v>
      </c>
      <c r="K50" s="4" t="s">
        <v>34</v>
      </c>
      <c r="HV50" s="2" t="s">
        <v>97</v>
      </c>
      <c r="HW50" s="2" t="s">
        <v>35</v>
      </c>
      <c r="IR50" s="24">
        <f>I50*0</f>
        <v>0</v>
      </c>
      <c r="IS50" s="24">
        <f>I50*(1-0)</f>
        <v>0</v>
      </c>
    </row>
    <row r="51" spans="1:253" s="185" customFormat="1" ht="13.5" customHeight="1" x14ac:dyDescent="0.25">
      <c r="A51" s="180"/>
      <c r="B51" s="181"/>
      <c r="C51" s="181"/>
      <c r="D51" s="182" t="s">
        <v>101</v>
      </c>
      <c r="E51" s="183"/>
      <c r="F51" s="183"/>
      <c r="G51" s="183"/>
      <c r="H51" s="183"/>
      <c r="I51" s="183"/>
      <c r="J51" s="183"/>
      <c r="K51" s="184"/>
    </row>
    <row r="52" spans="1:253" x14ac:dyDescent="0.25">
      <c r="A52" s="16" t="s">
        <v>25</v>
      </c>
      <c r="B52" s="17" t="s">
        <v>85</v>
      </c>
      <c r="C52" s="17" t="s">
        <v>102</v>
      </c>
      <c r="D52" s="103" t="s">
        <v>103</v>
      </c>
      <c r="E52" s="104"/>
      <c r="F52" s="17" t="s">
        <v>25</v>
      </c>
      <c r="G52" s="18" t="s">
        <v>25</v>
      </c>
      <c r="H52" s="18" t="s">
        <v>25</v>
      </c>
      <c r="I52" s="18" t="s">
        <v>25</v>
      </c>
      <c r="J52" s="19">
        <f>SUM(J53:J63)</f>
        <v>0</v>
      </c>
      <c r="K52" s="20" t="s">
        <v>25</v>
      </c>
    </row>
    <row r="53" spans="1:253" x14ac:dyDescent="0.25">
      <c r="A53" s="21">
        <v>14</v>
      </c>
      <c r="B53" s="2" t="s">
        <v>85</v>
      </c>
      <c r="C53" s="2" t="s">
        <v>104</v>
      </c>
      <c r="D53" s="186" t="s">
        <v>248</v>
      </c>
      <c r="E53" s="90"/>
      <c r="F53" s="2" t="s">
        <v>71</v>
      </c>
      <c r="G53" s="22">
        <v>21</v>
      </c>
      <c r="H53" s="23">
        <v>1</v>
      </c>
      <c r="I53" s="23"/>
      <c r="J53" s="23">
        <f>ROUND(IR53*H53+IS53*H53,2)</f>
        <v>0</v>
      </c>
      <c r="K53" s="187" t="s">
        <v>252</v>
      </c>
      <c r="HV53" s="2" t="s">
        <v>106</v>
      </c>
      <c r="HW53" s="2" t="s">
        <v>102</v>
      </c>
      <c r="IR53" s="24">
        <f>I53*1</f>
        <v>0</v>
      </c>
      <c r="IS53" s="24">
        <f>I53*(1-1)</f>
        <v>0</v>
      </c>
    </row>
    <row r="54" spans="1:253" s="185" customFormat="1" ht="13.5" customHeight="1" x14ac:dyDescent="0.25">
      <c r="A54" s="180"/>
      <c r="B54" s="181"/>
      <c r="C54" s="181"/>
      <c r="D54" s="182" t="s">
        <v>107</v>
      </c>
      <c r="E54" s="183"/>
      <c r="F54" s="183"/>
      <c r="G54" s="183"/>
      <c r="H54" s="183"/>
      <c r="I54" s="183"/>
      <c r="J54" s="183"/>
      <c r="K54" s="184"/>
    </row>
    <row r="55" spans="1:253" x14ac:dyDescent="0.25">
      <c r="A55" s="21">
        <v>15</v>
      </c>
      <c r="B55" s="2" t="s">
        <v>85</v>
      </c>
      <c r="C55" s="2" t="s">
        <v>108</v>
      </c>
      <c r="D55" s="186" t="s">
        <v>249</v>
      </c>
      <c r="E55" s="90"/>
      <c r="F55" s="2" t="s">
        <v>71</v>
      </c>
      <c r="G55" s="22">
        <v>21</v>
      </c>
      <c r="H55" s="23">
        <v>1</v>
      </c>
      <c r="I55" s="23"/>
      <c r="J55" s="23">
        <f>ROUND(IR55*H55+IS55*H55,2)</f>
        <v>0</v>
      </c>
      <c r="K55" s="187" t="s">
        <v>252</v>
      </c>
      <c r="HV55" s="2" t="s">
        <v>106</v>
      </c>
      <c r="HW55" s="2" t="s">
        <v>102</v>
      </c>
      <c r="IR55" s="24">
        <f>I55*1</f>
        <v>0</v>
      </c>
      <c r="IS55" s="24">
        <f>I55*(1-1)</f>
        <v>0</v>
      </c>
    </row>
    <row r="56" spans="1:253" s="185" customFormat="1" ht="13.5" customHeight="1" x14ac:dyDescent="0.25">
      <c r="A56" s="180"/>
      <c r="B56" s="181"/>
      <c r="C56" s="181"/>
      <c r="D56" s="182" t="s">
        <v>107</v>
      </c>
      <c r="E56" s="183"/>
      <c r="F56" s="183"/>
      <c r="G56" s="183"/>
      <c r="H56" s="183"/>
      <c r="I56" s="183"/>
      <c r="J56" s="183"/>
      <c r="K56" s="184"/>
    </row>
    <row r="57" spans="1:253" x14ac:dyDescent="0.25">
      <c r="A57" s="21">
        <v>16</v>
      </c>
      <c r="B57" s="2" t="s">
        <v>85</v>
      </c>
      <c r="C57" s="2" t="s">
        <v>110</v>
      </c>
      <c r="D57" s="186" t="s">
        <v>250</v>
      </c>
      <c r="E57" s="90"/>
      <c r="F57" s="2" t="s">
        <v>71</v>
      </c>
      <c r="G57" s="22">
        <v>21</v>
      </c>
      <c r="H57" s="23">
        <v>1</v>
      </c>
      <c r="I57" s="23"/>
      <c r="J57" s="23">
        <f>ROUND(IR57*H57+IS57*H57,2)</f>
        <v>0</v>
      </c>
      <c r="K57" s="187" t="s">
        <v>252</v>
      </c>
      <c r="HV57" s="2" t="s">
        <v>106</v>
      </c>
      <c r="HW57" s="2" t="s">
        <v>102</v>
      </c>
      <c r="IR57" s="24">
        <f>I57*1</f>
        <v>0</v>
      </c>
      <c r="IS57" s="24">
        <f>I57*(1-1)</f>
        <v>0</v>
      </c>
    </row>
    <row r="58" spans="1:253" s="185" customFormat="1" ht="13.5" customHeight="1" x14ac:dyDescent="0.25">
      <c r="A58" s="180"/>
      <c r="B58" s="181"/>
      <c r="C58" s="181"/>
      <c r="D58" s="182" t="s">
        <v>107</v>
      </c>
      <c r="E58" s="183"/>
      <c r="F58" s="183"/>
      <c r="G58" s="183"/>
      <c r="H58" s="183"/>
      <c r="I58" s="183"/>
      <c r="J58" s="183"/>
      <c r="K58" s="184"/>
    </row>
    <row r="59" spans="1:253" x14ac:dyDescent="0.25">
      <c r="A59" s="21">
        <v>17</v>
      </c>
      <c r="B59" s="2" t="s">
        <v>85</v>
      </c>
      <c r="C59" s="2" t="s">
        <v>112</v>
      </c>
      <c r="D59" s="186" t="s">
        <v>251</v>
      </c>
      <c r="E59" s="90"/>
      <c r="F59" s="2" t="s">
        <v>71</v>
      </c>
      <c r="G59" s="22">
        <v>21</v>
      </c>
      <c r="H59" s="23">
        <v>1</v>
      </c>
      <c r="I59" s="23"/>
      <c r="J59" s="23">
        <f>ROUND(IR59*H59+IS59*H59,2)</f>
        <v>0</v>
      </c>
      <c r="K59" s="187" t="s">
        <v>252</v>
      </c>
      <c r="HV59" s="2" t="s">
        <v>106</v>
      </c>
      <c r="HW59" s="2" t="s">
        <v>102</v>
      </c>
      <c r="IR59" s="24">
        <f>I59*1</f>
        <v>0</v>
      </c>
      <c r="IS59" s="24">
        <f>I59*(1-1)</f>
        <v>0</v>
      </c>
    </row>
    <row r="60" spans="1:253" s="185" customFormat="1" ht="13.5" customHeight="1" x14ac:dyDescent="0.25">
      <c r="A60" s="180"/>
      <c r="B60" s="181"/>
      <c r="C60" s="181"/>
      <c r="D60" s="182" t="s">
        <v>107</v>
      </c>
      <c r="E60" s="183"/>
      <c r="F60" s="183"/>
      <c r="G60" s="183"/>
      <c r="H60" s="183"/>
      <c r="I60" s="183"/>
      <c r="J60" s="183"/>
      <c r="K60" s="184"/>
    </row>
    <row r="61" spans="1:253" x14ac:dyDescent="0.25">
      <c r="A61" s="21">
        <v>18</v>
      </c>
      <c r="B61" s="2" t="s">
        <v>85</v>
      </c>
      <c r="C61" s="2" t="s">
        <v>114</v>
      </c>
      <c r="D61" s="96" t="s">
        <v>115</v>
      </c>
      <c r="E61" s="90"/>
      <c r="F61" s="2" t="s">
        <v>33</v>
      </c>
      <c r="G61" s="22">
        <v>21</v>
      </c>
      <c r="H61" s="23">
        <v>5</v>
      </c>
      <c r="I61" s="23"/>
      <c r="J61" s="23">
        <f>ROUND(IR61*H61+IS61*H61,2)</f>
        <v>0</v>
      </c>
      <c r="K61" s="187" t="s">
        <v>252</v>
      </c>
      <c r="HV61" s="2" t="s">
        <v>106</v>
      </c>
      <c r="HW61" s="2" t="s">
        <v>102</v>
      </c>
      <c r="IR61" s="24">
        <f>I61*1</f>
        <v>0</v>
      </c>
      <c r="IS61" s="24">
        <f>I61*(1-1)</f>
        <v>0</v>
      </c>
    </row>
    <row r="62" spans="1:253" s="185" customFormat="1" ht="13.5" customHeight="1" x14ac:dyDescent="0.25">
      <c r="A62" s="180"/>
      <c r="B62" s="181"/>
      <c r="C62" s="181"/>
      <c r="D62" s="182" t="s">
        <v>116</v>
      </c>
      <c r="E62" s="183"/>
      <c r="F62" s="183"/>
      <c r="G62" s="183"/>
      <c r="H62" s="183"/>
      <c r="I62" s="183"/>
      <c r="J62" s="183"/>
      <c r="K62" s="184"/>
    </row>
    <row r="63" spans="1:253" x14ac:dyDescent="0.25">
      <c r="A63" s="27">
        <v>19</v>
      </c>
      <c r="B63" s="7" t="s">
        <v>85</v>
      </c>
      <c r="C63" s="7" t="s">
        <v>117</v>
      </c>
      <c r="D63" s="110" t="s">
        <v>118</v>
      </c>
      <c r="E63" s="93"/>
      <c r="F63" s="7" t="s">
        <v>119</v>
      </c>
      <c r="G63" s="28">
        <v>21</v>
      </c>
      <c r="H63" s="29">
        <v>2</v>
      </c>
      <c r="I63" s="29"/>
      <c r="J63" s="29">
        <f>ROUND(IR63*H63+IS63*H63,2)</f>
        <v>0</v>
      </c>
      <c r="K63" s="188" t="s">
        <v>252</v>
      </c>
      <c r="HV63" s="2" t="s">
        <v>106</v>
      </c>
      <c r="HW63" s="2" t="s">
        <v>102</v>
      </c>
      <c r="IR63" s="24">
        <f>I63*1</f>
        <v>0</v>
      </c>
      <c r="IS63" s="24">
        <f>I63*(1-1)</f>
        <v>0</v>
      </c>
    </row>
    <row r="65" spans="9:10" x14ac:dyDescent="0.25">
      <c r="I65" s="3" t="s">
        <v>120</v>
      </c>
      <c r="J65" s="30">
        <f>ROUND(J12+J15+J18+J21+J24+J28+J31+J34+J37+J42+J47+J49+J52,2)</f>
        <v>0</v>
      </c>
    </row>
  </sheetData>
  <mergeCells count="98">
    <mergeCell ref="D63:E63"/>
    <mergeCell ref="D59:E59"/>
    <mergeCell ref="A60:C60"/>
    <mergeCell ref="D60:K60"/>
    <mergeCell ref="D61:E61"/>
    <mergeCell ref="A62:C62"/>
    <mergeCell ref="D62:K62"/>
    <mergeCell ref="A56:C56"/>
    <mergeCell ref="D56:K56"/>
    <mergeCell ref="D57:E57"/>
    <mergeCell ref="A58:C58"/>
    <mergeCell ref="D58:K58"/>
    <mergeCell ref="D52:E52"/>
    <mergeCell ref="D53:E53"/>
    <mergeCell ref="A54:C54"/>
    <mergeCell ref="D54:K54"/>
    <mergeCell ref="D55:E55"/>
    <mergeCell ref="D47:E47"/>
    <mergeCell ref="D48:E48"/>
    <mergeCell ref="D49:E49"/>
    <mergeCell ref="D50:E50"/>
    <mergeCell ref="A51:C51"/>
    <mergeCell ref="D51:K51"/>
    <mergeCell ref="A44:C44"/>
    <mergeCell ref="D44:K44"/>
    <mergeCell ref="D45:E45"/>
    <mergeCell ref="A46:C46"/>
    <mergeCell ref="D46:K46"/>
    <mergeCell ref="A40:C40"/>
    <mergeCell ref="D40:K40"/>
    <mergeCell ref="D41:E41"/>
    <mergeCell ref="D42:E42"/>
    <mergeCell ref="D43:E43"/>
    <mergeCell ref="A36:C36"/>
    <mergeCell ref="D36:K36"/>
    <mergeCell ref="D37:E37"/>
    <mergeCell ref="D38:E38"/>
    <mergeCell ref="A39:C39"/>
    <mergeCell ref="D39:K39"/>
    <mergeCell ref="D32:E32"/>
    <mergeCell ref="A33:C33"/>
    <mergeCell ref="D33:K33"/>
    <mergeCell ref="D34:E34"/>
    <mergeCell ref="D35:E35"/>
    <mergeCell ref="D28:E28"/>
    <mergeCell ref="D29:E29"/>
    <mergeCell ref="A30:C30"/>
    <mergeCell ref="D30:K30"/>
    <mergeCell ref="D31:E31"/>
    <mergeCell ref="D24:E24"/>
    <mergeCell ref="D25:E25"/>
    <mergeCell ref="A26:C26"/>
    <mergeCell ref="D26:K26"/>
    <mergeCell ref="A27:C27"/>
    <mergeCell ref="D27:K27"/>
    <mergeCell ref="A20:C20"/>
    <mergeCell ref="D20:K20"/>
    <mergeCell ref="D21:E21"/>
    <mergeCell ref="D22:E22"/>
    <mergeCell ref="A23:C23"/>
    <mergeCell ref="D23:K23"/>
    <mergeCell ref="D16:E16"/>
    <mergeCell ref="A17:C17"/>
    <mergeCell ref="D17:K17"/>
    <mergeCell ref="D18:E18"/>
    <mergeCell ref="D19:E19"/>
    <mergeCell ref="D12:E12"/>
    <mergeCell ref="D13:E13"/>
    <mergeCell ref="A14:C14"/>
    <mergeCell ref="D14:K14"/>
    <mergeCell ref="D15:E15"/>
    <mergeCell ref="I2:K3"/>
    <mergeCell ref="I4:K5"/>
    <mergeCell ref="I6:K7"/>
    <mergeCell ref="I8:K9"/>
    <mergeCell ref="D11:E11"/>
    <mergeCell ref="G6:G7"/>
    <mergeCell ref="G8:G9"/>
    <mergeCell ref="H2:H3"/>
    <mergeCell ref="H4:H5"/>
    <mergeCell ref="H6:H7"/>
    <mergeCell ref="H8:H9"/>
    <mergeCell ref="D10:E10"/>
    <mergeCell ref="A1:K1"/>
    <mergeCell ref="A2:C3"/>
    <mergeCell ref="A4:C5"/>
    <mergeCell ref="A6:C7"/>
    <mergeCell ref="A8:C9"/>
    <mergeCell ref="D2:D3"/>
    <mergeCell ref="D4:D5"/>
    <mergeCell ref="D6:D7"/>
    <mergeCell ref="D8:D9"/>
    <mergeCell ref="E2:F3"/>
    <mergeCell ref="E4:F5"/>
    <mergeCell ref="E6:F7"/>
    <mergeCell ref="E8:F9"/>
    <mergeCell ref="G2:G3"/>
    <mergeCell ref="G4:G5"/>
  </mergeCells>
  <pageMargins left="0.393999993801117" right="0.393999993801117" top="0.59100002050399802" bottom="0.59100002050399802" header="0" footer="0"/>
  <pageSetup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7"/>
  <sheetViews>
    <sheetView workbookViewId="0">
      <selection activeCell="N12" sqref="N12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7.140625" customWidth="1"/>
    <col min="4" max="4" width="10" customWidth="1"/>
    <col min="5" max="5" width="14" customWidth="1"/>
    <col min="6" max="6" width="27.140625" customWidth="1"/>
    <col min="7" max="7" width="9.140625" customWidth="1"/>
    <col min="8" max="8" width="12.85546875" customWidth="1"/>
    <col min="9" max="9" width="27.140625" customWidth="1"/>
  </cols>
  <sheetData>
    <row r="1" spans="1:9" ht="54.75" customHeight="1" x14ac:dyDescent="0.25">
      <c r="A1" s="111" t="s">
        <v>121</v>
      </c>
      <c r="B1" s="86"/>
      <c r="C1" s="86"/>
      <c r="D1" s="86"/>
      <c r="E1" s="86"/>
      <c r="F1" s="86"/>
      <c r="G1" s="86"/>
      <c r="H1" s="86"/>
      <c r="I1" s="86"/>
    </row>
    <row r="2" spans="1:9" x14ac:dyDescent="0.25">
      <c r="A2" s="194" t="s">
        <v>1</v>
      </c>
      <c r="B2" s="88"/>
      <c r="C2" s="193" t="s">
        <v>257</v>
      </c>
      <c r="D2" s="191"/>
      <c r="E2" s="198" t="s">
        <v>3</v>
      </c>
      <c r="F2" s="189" t="s">
        <v>255</v>
      </c>
      <c r="G2" s="88"/>
      <c r="H2" s="198" t="s">
        <v>122</v>
      </c>
      <c r="I2" s="190" t="s">
        <v>256</v>
      </c>
    </row>
    <row r="3" spans="1:9" ht="15" customHeight="1" x14ac:dyDescent="0.25">
      <c r="A3" s="89"/>
      <c r="B3" s="90"/>
      <c r="C3" s="192"/>
      <c r="D3" s="192"/>
      <c r="E3" s="90"/>
      <c r="F3" s="90"/>
      <c r="G3" s="90"/>
      <c r="H3" s="90"/>
      <c r="I3" s="99"/>
    </row>
    <row r="4" spans="1:9" x14ac:dyDescent="0.25">
      <c r="A4" s="195" t="s">
        <v>4</v>
      </c>
      <c r="B4" s="90"/>
      <c r="C4" s="96" t="str">
        <f>'Stavební rozpočet'!D4</f>
        <v xml:space="preserve"> </v>
      </c>
      <c r="D4" s="90"/>
      <c r="E4" s="199" t="s">
        <v>6</v>
      </c>
      <c r="F4" s="186" t="s">
        <v>256</v>
      </c>
      <c r="G4" s="90"/>
      <c r="H4" s="199" t="s">
        <v>122</v>
      </c>
      <c r="I4" s="99">
        <v>6220461</v>
      </c>
    </row>
    <row r="5" spans="1:9" ht="15" customHeight="1" x14ac:dyDescent="0.25">
      <c r="A5" s="89"/>
      <c r="B5" s="90"/>
      <c r="C5" s="90"/>
      <c r="D5" s="90"/>
      <c r="E5" s="90"/>
      <c r="F5" s="90"/>
      <c r="G5" s="90"/>
      <c r="H5" s="90"/>
      <c r="I5" s="99"/>
    </row>
    <row r="6" spans="1:9" x14ac:dyDescent="0.25">
      <c r="A6" s="195" t="s">
        <v>7</v>
      </c>
      <c r="B6" s="90"/>
      <c r="C6" s="96" t="str">
        <f>'Stavební rozpočet'!D6</f>
        <v>k.ú. Hrubšice</v>
      </c>
      <c r="D6" s="90"/>
      <c r="E6" s="199" t="s">
        <v>9</v>
      </c>
      <c r="F6" s="96" t="str">
        <f>'Stavební rozpočet'!J6</f>
        <v> </v>
      </c>
      <c r="G6" s="90"/>
      <c r="H6" s="199" t="s">
        <v>122</v>
      </c>
      <c r="I6" s="99" t="s">
        <v>27</v>
      </c>
    </row>
    <row r="7" spans="1:9" ht="15" customHeight="1" x14ac:dyDescent="0.25">
      <c r="A7" s="89"/>
      <c r="B7" s="90"/>
      <c r="C7" s="90"/>
      <c r="D7" s="90"/>
      <c r="E7" s="90"/>
      <c r="F7" s="90"/>
      <c r="G7" s="90"/>
      <c r="H7" s="90"/>
      <c r="I7" s="99"/>
    </row>
    <row r="8" spans="1:9" x14ac:dyDescent="0.25">
      <c r="A8" s="195" t="s">
        <v>5</v>
      </c>
      <c r="B8" s="90"/>
      <c r="C8" s="96" t="str">
        <f>'Stavební rozpočet'!H4</f>
        <v>18.09.2025</v>
      </c>
      <c r="D8" s="90"/>
      <c r="E8" s="199" t="s">
        <v>8</v>
      </c>
      <c r="F8" s="96" t="str">
        <f>'Stavební rozpočet'!H6</f>
        <v xml:space="preserve"> </v>
      </c>
      <c r="G8" s="90"/>
      <c r="H8" s="197" t="s">
        <v>123</v>
      </c>
      <c r="I8" s="113">
        <v>19</v>
      </c>
    </row>
    <row r="9" spans="1:9" x14ac:dyDescent="0.25">
      <c r="A9" s="89"/>
      <c r="B9" s="90"/>
      <c r="C9" s="90"/>
      <c r="D9" s="90"/>
      <c r="E9" s="90"/>
      <c r="F9" s="90"/>
      <c r="G9" s="90"/>
      <c r="H9" s="90"/>
      <c r="I9" s="99"/>
    </row>
    <row r="10" spans="1:9" x14ac:dyDescent="0.25">
      <c r="A10" s="195" t="s">
        <v>10</v>
      </c>
      <c r="B10" s="90"/>
      <c r="C10" s="96" t="str">
        <f>'Stavební rozpočet'!D8</f>
        <v xml:space="preserve"> </v>
      </c>
      <c r="D10" s="90"/>
      <c r="E10" s="199" t="s">
        <v>12</v>
      </c>
      <c r="F10" s="96" t="str">
        <f>'Stavební rozpočet'!J8</f>
        <v>Ing.Jiří Dvořák</v>
      </c>
      <c r="G10" s="90"/>
      <c r="H10" s="197" t="s">
        <v>124</v>
      </c>
      <c r="I10" s="114" t="str">
        <f>'Stavební rozpočet'!H8</f>
        <v>18.09.2025</v>
      </c>
    </row>
    <row r="11" spans="1:9" x14ac:dyDescent="0.25">
      <c r="A11" s="92"/>
      <c r="B11" s="93"/>
      <c r="C11" s="93"/>
      <c r="D11" s="93"/>
      <c r="E11" s="93"/>
      <c r="F11" s="93"/>
      <c r="G11" s="93"/>
      <c r="H11" s="93"/>
      <c r="I11" s="100"/>
    </row>
    <row r="12" spans="1:9" ht="23.25" x14ac:dyDescent="0.25">
      <c r="A12" s="115" t="s">
        <v>125</v>
      </c>
      <c r="B12" s="115"/>
      <c r="C12" s="115"/>
      <c r="D12" s="115"/>
      <c r="E12" s="115"/>
      <c r="F12" s="115"/>
      <c r="G12" s="115"/>
      <c r="H12" s="115"/>
      <c r="I12" s="115"/>
    </row>
    <row r="13" spans="1:9" ht="26.25" customHeight="1" x14ac:dyDescent="0.25">
      <c r="A13" s="31" t="s">
        <v>126</v>
      </c>
      <c r="B13" s="116" t="s">
        <v>127</v>
      </c>
      <c r="C13" s="117"/>
      <c r="D13" s="32" t="s">
        <v>128</v>
      </c>
      <c r="E13" s="116" t="s">
        <v>129</v>
      </c>
      <c r="F13" s="117"/>
      <c r="G13" s="32" t="s">
        <v>130</v>
      </c>
      <c r="H13" s="116" t="s">
        <v>131</v>
      </c>
      <c r="I13" s="117"/>
    </row>
    <row r="14" spans="1:9" ht="15.75" x14ac:dyDescent="0.25">
      <c r="A14" s="33" t="s">
        <v>132</v>
      </c>
      <c r="B14" s="34" t="s">
        <v>133</v>
      </c>
      <c r="C14" s="35">
        <f>SUM('Stavební rozpočet'!AB12:AB134)</f>
        <v>0</v>
      </c>
      <c r="D14" s="124" t="s">
        <v>134</v>
      </c>
      <c r="E14" s="125"/>
      <c r="F14" s="35">
        <f>VORN!I15</f>
        <v>0</v>
      </c>
      <c r="G14" s="124" t="s">
        <v>135</v>
      </c>
      <c r="H14" s="125"/>
      <c r="I14" s="35">
        <f>VORN!I21</f>
        <v>0</v>
      </c>
    </row>
    <row r="15" spans="1:9" ht="15.75" x14ac:dyDescent="0.25">
      <c r="A15" s="36" t="s">
        <v>27</v>
      </c>
      <c r="B15" s="34" t="s">
        <v>136</v>
      </c>
      <c r="C15" s="35">
        <f>SUM('Stavební rozpočet'!AC12:AC134)</f>
        <v>0</v>
      </c>
      <c r="D15" s="124" t="s">
        <v>137</v>
      </c>
      <c r="E15" s="125"/>
      <c r="F15" s="35">
        <f>VORN!I16</f>
        <v>0</v>
      </c>
      <c r="G15" s="124" t="s">
        <v>138</v>
      </c>
      <c r="H15" s="125"/>
      <c r="I15" s="35">
        <f>VORN!I22</f>
        <v>0</v>
      </c>
    </row>
    <row r="16" spans="1:9" ht="15.75" x14ac:dyDescent="0.25">
      <c r="A16" s="33" t="s">
        <v>139</v>
      </c>
      <c r="B16" s="34" t="s">
        <v>133</v>
      </c>
      <c r="C16" s="35">
        <f>SUM('Stavební rozpočet'!AD12:AD134)</f>
        <v>0</v>
      </c>
      <c r="D16" s="124" t="s">
        <v>140</v>
      </c>
      <c r="E16" s="125"/>
      <c r="F16" s="35">
        <f>VORN!I17</f>
        <v>0</v>
      </c>
      <c r="G16" s="124" t="s">
        <v>141</v>
      </c>
      <c r="H16" s="125"/>
      <c r="I16" s="35">
        <f>VORN!I23</f>
        <v>0</v>
      </c>
    </row>
    <row r="17" spans="1:9" ht="15.75" x14ac:dyDescent="0.25">
      <c r="A17" s="36" t="s">
        <v>27</v>
      </c>
      <c r="B17" s="34" t="s">
        <v>136</v>
      </c>
      <c r="C17" s="35">
        <f>SUM('Stavební rozpočet'!AE12:AE134)</f>
        <v>0</v>
      </c>
      <c r="D17" s="124" t="s">
        <v>27</v>
      </c>
      <c r="E17" s="125"/>
      <c r="F17" s="37" t="s">
        <v>27</v>
      </c>
      <c r="G17" s="124" t="s">
        <v>142</v>
      </c>
      <c r="H17" s="125"/>
      <c r="I17" s="35">
        <f>VORN!I24</f>
        <v>0</v>
      </c>
    </row>
    <row r="18" spans="1:9" ht="15.75" x14ac:dyDescent="0.25">
      <c r="A18" s="33" t="s">
        <v>143</v>
      </c>
      <c r="B18" s="34" t="s">
        <v>133</v>
      </c>
      <c r="C18" s="35">
        <f>SUM('Stavební rozpočet'!AF12:AF134)</f>
        <v>0</v>
      </c>
      <c r="D18" s="124" t="s">
        <v>27</v>
      </c>
      <c r="E18" s="125"/>
      <c r="F18" s="37" t="s">
        <v>27</v>
      </c>
      <c r="G18" s="124" t="s">
        <v>144</v>
      </c>
      <c r="H18" s="125"/>
      <c r="I18" s="35">
        <f>VORN!I25</f>
        <v>0</v>
      </c>
    </row>
    <row r="19" spans="1:9" ht="15.75" x14ac:dyDescent="0.25">
      <c r="A19" s="36" t="s">
        <v>27</v>
      </c>
      <c r="B19" s="34" t="s">
        <v>136</v>
      </c>
      <c r="C19" s="35">
        <f>SUM('Stavební rozpočet'!AG12:AG134)</f>
        <v>0</v>
      </c>
      <c r="D19" s="124" t="s">
        <v>27</v>
      </c>
      <c r="E19" s="125"/>
      <c r="F19" s="37" t="s">
        <v>27</v>
      </c>
      <c r="G19" s="124" t="s">
        <v>145</v>
      </c>
      <c r="H19" s="125"/>
      <c r="I19" s="35">
        <f>VORN!I26</f>
        <v>0</v>
      </c>
    </row>
    <row r="20" spans="1:9" ht="15.75" x14ac:dyDescent="0.25">
      <c r="A20" s="118" t="s">
        <v>103</v>
      </c>
      <c r="B20" s="119"/>
      <c r="C20" s="35">
        <f>SUM('Stavební rozpočet'!AH12:AH134)</f>
        <v>0</v>
      </c>
      <c r="D20" s="124" t="s">
        <v>27</v>
      </c>
      <c r="E20" s="125"/>
      <c r="F20" s="37" t="s">
        <v>27</v>
      </c>
      <c r="G20" s="124" t="s">
        <v>27</v>
      </c>
      <c r="H20" s="125"/>
      <c r="I20" s="37" t="s">
        <v>27</v>
      </c>
    </row>
    <row r="21" spans="1:9" ht="15.75" x14ac:dyDescent="0.25">
      <c r="A21" s="120" t="s">
        <v>146</v>
      </c>
      <c r="B21" s="121"/>
      <c r="C21" s="38">
        <f>SUM('Stavební rozpočet'!Z12:Z134)</f>
        <v>0</v>
      </c>
      <c r="D21" s="126" t="s">
        <v>27</v>
      </c>
      <c r="E21" s="127"/>
      <c r="F21" s="39" t="s">
        <v>27</v>
      </c>
      <c r="G21" s="126" t="s">
        <v>27</v>
      </c>
      <c r="H21" s="127"/>
      <c r="I21" s="39" t="s">
        <v>27</v>
      </c>
    </row>
    <row r="22" spans="1:9" ht="16.5" customHeight="1" x14ac:dyDescent="0.25">
      <c r="A22" s="122" t="s">
        <v>147</v>
      </c>
      <c r="B22" s="123"/>
      <c r="C22" s="40">
        <f>ROUND(SUM(C14:C21),2)</f>
        <v>0</v>
      </c>
      <c r="D22" s="128" t="s">
        <v>148</v>
      </c>
      <c r="E22" s="123"/>
      <c r="F22" s="40">
        <f>SUM(F14:F21)</f>
        <v>0</v>
      </c>
      <c r="G22" s="128" t="s">
        <v>149</v>
      </c>
      <c r="H22" s="123"/>
      <c r="I22" s="40">
        <f>SUM(I14:I21)</f>
        <v>0</v>
      </c>
    </row>
    <row r="23" spans="1:9" ht="15.75" x14ac:dyDescent="0.25">
      <c r="D23" s="118" t="s">
        <v>150</v>
      </c>
      <c r="E23" s="119"/>
      <c r="F23" s="41">
        <v>0</v>
      </c>
      <c r="G23" s="129" t="s">
        <v>151</v>
      </c>
      <c r="H23" s="119"/>
      <c r="I23" s="35">
        <v>0</v>
      </c>
    </row>
    <row r="24" spans="1:9" ht="15.75" x14ac:dyDescent="0.25">
      <c r="G24" s="118" t="s">
        <v>152</v>
      </c>
      <c r="H24" s="119"/>
      <c r="I24" s="35">
        <f>vorn_sum</f>
        <v>0</v>
      </c>
    </row>
    <row r="25" spans="1:9" ht="15.75" x14ac:dyDescent="0.25">
      <c r="G25" s="118" t="s">
        <v>153</v>
      </c>
      <c r="H25" s="119"/>
      <c r="I25" s="35">
        <v>0</v>
      </c>
    </row>
    <row r="27" spans="1:9" ht="15.75" x14ac:dyDescent="0.25">
      <c r="A27" s="130" t="s">
        <v>154</v>
      </c>
      <c r="B27" s="131"/>
      <c r="C27" s="42">
        <f>ROUND(SUM('Stavební rozpočet'!AJ12:AJ134),2)</f>
        <v>0</v>
      </c>
    </row>
    <row r="28" spans="1:9" ht="15.75" x14ac:dyDescent="0.25">
      <c r="A28" s="132" t="s">
        <v>155</v>
      </c>
      <c r="B28" s="133"/>
      <c r="C28" s="43">
        <f>ROUND(SUM('Stavební rozpočet'!AK12:AK134),2)</f>
        <v>0</v>
      </c>
      <c r="D28" s="134" t="s">
        <v>156</v>
      </c>
      <c r="E28" s="131"/>
      <c r="F28" s="42">
        <f>ROUND(C28*(12/100),2)</f>
        <v>0</v>
      </c>
      <c r="G28" s="134" t="s">
        <v>157</v>
      </c>
      <c r="H28" s="131"/>
      <c r="I28" s="42">
        <f>ROUND(SUM(C27:C29),2)</f>
        <v>0</v>
      </c>
    </row>
    <row r="29" spans="1:9" ht="15.75" x14ac:dyDescent="0.25">
      <c r="A29" s="132" t="s">
        <v>158</v>
      </c>
      <c r="B29" s="133"/>
      <c r="C29" s="43">
        <f>ROUND(SUM('Stavební rozpočet'!AL12:AL134)+(F22+I22+F23+I23+I24+I25),2)</f>
        <v>0</v>
      </c>
      <c r="D29" s="135" t="s">
        <v>159</v>
      </c>
      <c r="E29" s="133"/>
      <c r="F29" s="43">
        <f>ROUND(C29*(21/100),2)</f>
        <v>0</v>
      </c>
      <c r="G29" s="135" t="s">
        <v>160</v>
      </c>
      <c r="H29" s="133"/>
      <c r="I29" s="43">
        <f>ROUND(SUM(F28:F29)+I28,2)</f>
        <v>0</v>
      </c>
    </row>
    <row r="31" spans="1:9" x14ac:dyDescent="0.25">
      <c r="A31" s="136" t="s">
        <v>161</v>
      </c>
      <c r="B31" s="137"/>
      <c r="C31" s="138"/>
      <c r="D31" s="145" t="s">
        <v>162</v>
      </c>
      <c r="E31" s="137"/>
      <c r="F31" s="138"/>
      <c r="G31" s="145" t="s">
        <v>163</v>
      </c>
      <c r="H31" s="137"/>
      <c r="I31" s="138"/>
    </row>
    <row r="32" spans="1:9" x14ac:dyDescent="0.25">
      <c r="A32" s="139" t="s">
        <v>27</v>
      </c>
      <c r="B32" s="140"/>
      <c r="C32" s="141"/>
      <c r="D32" s="146" t="s">
        <v>27</v>
      </c>
      <c r="E32" s="140"/>
      <c r="F32" s="141"/>
      <c r="G32" s="146" t="s">
        <v>27</v>
      </c>
      <c r="H32" s="140"/>
      <c r="I32" s="141"/>
    </row>
    <row r="33" spans="1:9" x14ac:dyDescent="0.25">
      <c r="A33" s="139" t="s">
        <v>27</v>
      </c>
      <c r="B33" s="140"/>
      <c r="C33" s="141"/>
      <c r="D33" s="146" t="s">
        <v>27</v>
      </c>
      <c r="E33" s="140"/>
      <c r="F33" s="141"/>
      <c r="G33" s="146" t="s">
        <v>27</v>
      </c>
      <c r="H33" s="140"/>
      <c r="I33" s="141"/>
    </row>
    <row r="34" spans="1:9" x14ac:dyDescent="0.25">
      <c r="A34" s="139" t="s">
        <v>27</v>
      </c>
      <c r="B34" s="140"/>
      <c r="C34" s="141"/>
      <c r="D34" s="146" t="s">
        <v>27</v>
      </c>
      <c r="E34" s="140"/>
      <c r="F34" s="141"/>
      <c r="G34" s="146" t="s">
        <v>27</v>
      </c>
      <c r="H34" s="140"/>
      <c r="I34" s="141"/>
    </row>
    <row r="35" spans="1:9" x14ac:dyDescent="0.25">
      <c r="A35" s="142" t="s">
        <v>164</v>
      </c>
      <c r="B35" s="143"/>
      <c r="C35" s="144"/>
      <c r="D35" s="147" t="s">
        <v>164</v>
      </c>
      <c r="E35" s="143"/>
      <c r="F35" s="144"/>
      <c r="G35" s="147" t="s">
        <v>164</v>
      </c>
      <c r="H35" s="143"/>
      <c r="I35" s="144"/>
    </row>
    <row r="36" spans="1:9" x14ac:dyDescent="0.25">
      <c r="A36" s="44" t="s">
        <v>36</v>
      </c>
    </row>
    <row r="37" spans="1:9" ht="12.75" customHeight="1" x14ac:dyDescent="0.25">
      <c r="A37" s="96" t="s">
        <v>27</v>
      </c>
      <c r="B37" s="90"/>
      <c r="C37" s="90"/>
      <c r="D37" s="90"/>
      <c r="E37" s="90"/>
      <c r="F37" s="90"/>
      <c r="G37" s="90"/>
      <c r="H37" s="90"/>
      <c r="I37" s="90"/>
    </row>
  </sheetData>
  <mergeCells count="83">
    <mergeCell ref="A37:I37"/>
    <mergeCell ref="G31:I31"/>
    <mergeCell ref="G32:I32"/>
    <mergeCell ref="G33:I33"/>
    <mergeCell ref="G34:I34"/>
    <mergeCell ref="G35:I35"/>
    <mergeCell ref="D31:F31"/>
    <mergeCell ref="D32:F32"/>
    <mergeCell ref="D33:F33"/>
    <mergeCell ref="D34:F34"/>
    <mergeCell ref="D35:F35"/>
    <mergeCell ref="A31:C31"/>
    <mergeCell ref="A32:C32"/>
    <mergeCell ref="A33:C33"/>
    <mergeCell ref="A34:C34"/>
    <mergeCell ref="A35:C35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I10:I11"/>
    <mergeCell ref="A12:I12"/>
    <mergeCell ref="B13:C13"/>
    <mergeCell ref="E13:F13"/>
    <mergeCell ref="H13:I13"/>
    <mergeCell ref="F10:G11"/>
    <mergeCell ref="H2:H3"/>
    <mergeCell ref="H4:H5"/>
    <mergeCell ref="H6:H7"/>
    <mergeCell ref="H8:H9"/>
    <mergeCell ref="H10:H11"/>
    <mergeCell ref="A10:B11"/>
    <mergeCell ref="E2:E3"/>
    <mergeCell ref="E4:E5"/>
    <mergeCell ref="E6:E7"/>
    <mergeCell ref="E8:E9"/>
    <mergeCell ref="E10:E11"/>
    <mergeCell ref="C2:D3"/>
    <mergeCell ref="C4:D5"/>
    <mergeCell ref="C6:D7"/>
    <mergeCell ref="C8:D9"/>
    <mergeCell ref="C10:D11"/>
    <mergeCell ref="A1:I1"/>
    <mergeCell ref="A2:B3"/>
    <mergeCell ref="A4:B5"/>
    <mergeCell ref="A6:B7"/>
    <mergeCell ref="A8:B9"/>
    <mergeCell ref="F2:G3"/>
    <mergeCell ref="F4:G5"/>
    <mergeCell ref="F6:G7"/>
    <mergeCell ref="F8:G9"/>
    <mergeCell ref="I2:I3"/>
    <mergeCell ref="I4:I5"/>
    <mergeCell ref="I6:I7"/>
    <mergeCell ref="I8:I9"/>
  </mergeCells>
  <pageMargins left="0.393999993801117" right="0.393999993801117" top="0.59100002050399802" bottom="0.59100002050399802" header="0" footer="0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6"/>
  <sheetViews>
    <sheetView workbookViewId="0">
      <selection activeCell="A36" sqref="A36:E36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7.140625" customWidth="1"/>
    <col min="9" max="9" width="22.85546875" customWidth="1"/>
  </cols>
  <sheetData>
    <row r="1" spans="1:9" ht="54.75" customHeight="1" x14ac:dyDescent="0.25">
      <c r="A1" s="111" t="s">
        <v>165</v>
      </c>
      <c r="B1" s="86"/>
      <c r="C1" s="86"/>
      <c r="D1" s="86"/>
      <c r="E1" s="86"/>
      <c r="F1" s="86"/>
      <c r="G1" s="86"/>
      <c r="H1" s="86"/>
      <c r="I1" s="86"/>
    </row>
    <row r="2" spans="1:9" x14ac:dyDescent="0.25">
      <c r="A2" s="87" t="s">
        <v>1</v>
      </c>
      <c r="B2" s="88"/>
      <c r="C2" s="94" t="str">
        <f>'Stavební rozpočet'!D2</f>
        <v>Nové hřiště v Hrubšicích etapa I.</v>
      </c>
      <c r="D2" s="112"/>
      <c r="E2" s="97" t="s">
        <v>3</v>
      </c>
      <c r="F2" s="97" t="str">
        <f>'Stavební rozpočet'!J2</f>
        <v> </v>
      </c>
      <c r="G2" s="88"/>
      <c r="H2" s="97" t="s">
        <v>122</v>
      </c>
      <c r="I2" s="98" t="s">
        <v>27</v>
      </c>
    </row>
    <row r="3" spans="1:9" ht="15" customHeight="1" x14ac:dyDescent="0.25">
      <c r="A3" s="89"/>
      <c r="B3" s="90"/>
      <c r="C3" s="95"/>
      <c r="D3" s="95"/>
      <c r="E3" s="90"/>
      <c r="F3" s="90"/>
      <c r="G3" s="90"/>
      <c r="H3" s="90"/>
      <c r="I3" s="99"/>
    </row>
    <row r="4" spans="1:9" x14ac:dyDescent="0.25">
      <c r="A4" s="91" t="s">
        <v>4</v>
      </c>
      <c r="B4" s="90"/>
      <c r="C4" s="96" t="str">
        <f>'Stavební rozpočet'!D4</f>
        <v xml:space="preserve"> </v>
      </c>
      <c r="D4" s="90"/>
      <c r="E4" s="96" t="s">
        <v>6</v>
      </c>
      <c r="F4" s="96" t="str">
        <f>'Stavební rozpočet'!J4</f>
        <v> </v>
      </c>
      <c r="G4" s="90"/>
      <c r="H4" s="96" t="s">
        <v>122</v>
      </c>
      <c r="I4" s="99" t="s">
        <v>27</v>
      </c>
    </row>
    <row r="5" spans="1:9" ht="15" customHeight="1" x14ac:dyDescent="0.25">
      <c r="A5" s="89"/>
      <c r="B5" s="90"/>
      <c r="C5" s="90"/>
      <c r="D5" s="90"/>
      <c r="E5" s="90"/>
      <c r="F5" s="90"/>
      <c r="G5" s="90"/>
      <c r="H5" s="90"/>
      <c r="I5" s="99"/>
    </row>
    <row r="6" spans="1:9" x14ac:dyDescent="0.25">
      <c r="A6" s="91" t="s">
        <v>7</v>
      </c>
      <c r="B6" s="90"/>
      <c r="C6" s="96" t="str">
        <f>'Stavební rozpočet'!D6</f>
        <v>k.ú. Hrubšice</v>
      </c>
      <c r="D6" s="90"/>
      <c r="E6" s="96" t="s">
        <v>9</v>
      </c>
      <c r="F6" s="96" t="str">
        <f>'Stavební rozpočet'!J6</f>
        <v> </v>
      </c>
      <c r="G6" s="90"/>
      <c r="H6" s="96" t="s">
        <v>122</v>
      </c>
      <c r="I6" s="99" t="s">
        <v>27</v>
      </c>
    </row>
    <row r="7" spans="1:9" ht="15" customHeight="1" x14ac:dyDescent="0.25">
      <c r="A7" s="89"/>
      <c r="B7" s="90"/>
      <c r="C7" s="90"/>
      <c r="D7" s="90"/>
      <c r="E7" s="90"/>
      <c r="F7" s="90"/>
      <c r="G7" s="90"/>
      <c r="H7" s="90"/>
      <c r="I7" s="99"/>
    </row>
    <row r="8" spans="1:9" x14ac:dyDescent="0.25">
      <c r="A8" s="91" t="s">
        <v>5</v>
      </c>
      <c r="B8" s="90"/>
      <c r="C8" s="96" t="str">
        <f>'Stavební rozpočet'!H4</f>
        <v>18.09.2025</v>
      </c>
      <c r="D8" s="90"/>
      <c r="E8" s="96" t="s">
        <v>8</v>
      </c>
      <c r="F8" s="96" t="str">
        <f>'Stavební rozpočet'!H6</f>
        <v xml:space="preserve"> </v>
      </c>
      <c r="G8" s="90"/>
      <c r="H8" s="90" t="s">
        <v>123</v>
      </c>
      <c r="I8" s="113">
        <v>19</v>
      </c>
    </row>
    <row r="9" spans="1:9" x14ac:dyDescent="0.25">
      <c r="A9" s="89"/>
      <c r="B9" s="90"/>
      <c r="C9" s="90"/>
      <c r="D9" s="90"/>
      <c r="E9" s="90"/>
      <c r="F9" s="90"/>
      <c r="G9" s="90"/>
      <c r="H9" s="90"/>
      <c r="I9" s="99"/>
    </row>
    <row r="10" spans="1:9" x14ac:dyDescent="0.25">
      <c r="A10" s="91" t="s">
        <v>10</v>
      </c>
      <c r="B10" s="90"/>
      <c r="C10" s="96" t="str">
        <f>'Stavební rozpočet'!D8</f>
        <v xml:space="preserve"> </v>
      </c>
      <c r="D10" s="90"/>
      <c r="E10" s="96" t="s">
        <v>12</v>
      </c>
      <c r="F10" s="96" t="str">
        <f>'Stavební rozpočet'!J8</f>
        <v>Ing.Jiří Dvořák</v>
      </c>
      <c r="G10" s="90"/>
      <c r="H10" s="90" t="s">
        <v>124</v>
      </c>
      <c r="I10" s="114" t="str">
        <f>'Stavební rozpočet'!H8</f>
        <v>18.09.2025</v>
      </c>
    </row>
    <row r="11" spans="1:9" x14ac:dyDescent="0.25">
      <c r="A11" s="92"/>
      <c r="B11" s="93"/>
      <c r="C11" s="93"/>
      <c r="D11" s="93"/>
      <c r="E11" s="93"/>
      <c r="F11" s="93"/>
      <c r="G11" s="93"/>
      <c r="H11" s="93"/>
      <c r="I11" s="100"/>
    </row>
    <row r="13" spans="1:9" ht="15.75" x14ac:dyDescent="0.25">
      <c r="A13" s="148" t="s">
        <v>166</v>
      </c>
      <c r="B13" s="148"/>
      <c r="C13" s="148"/>
      <c r="D13" s="148"/>
      <c r="E13" s="148"/>
    </row>
    <row r="14" spans="1:9" x14ac:dyDescent="0.25">
      <c r="A14" s="149" t="s">
        <v>167</v>
      </c>
      <c r="B14" s="150"/>
      <c r="C14" s="150"/>
      <c r="D14" s="150"/>
      <c r="E14" s="151"/>
      <c r="F14" s="45" t="s">
        <v>168</v>
      </c>
      <c r="G14" s="45" t="s">
        <v>169</v>
      </c>
      <c r="H14" s="45" t="s">
        <v>170</v>
      </c>
      <c r="I14" s="45" t="s">
        <v>168</v>
      </c>
    </row>
    <row r="15" spans="1:9" x14ac:dyDescent="0.25">
      <c r="A15" s="152" t="s">
        <v>134</v>
      </c>
      <c r="B15" s="153"/>
      <c r="C15" s="153"/>
      <c r="D15" s="153"/>
      <c r="E15" s="154"/>
      <c r="F15" s="46">
        <v>0</v>
      </c>
      <c r="G15" s="47" t="s">
        <v>27</v>
      </c>
      <c r="H15" s="47" t="s">
        <v>27</v>
      </c>
      <c r="I15" s="46">
        <f>F15</f>
        <v>0</v>
      </c>
    </row>
    <row r="16" spans="1:9" x14ac:dyDescent="0.25">
      <c r="A16" s="152" t="s">
        <v>137</v>
      </c>
      <c r="B16" s="153"/>
      <c r="C16" s="153"/>
      <c r="D16" s="153"/>
      <c r="E16" s="154"/>
      <c r="F16" s="46">
        <v>0</v>
      </c>
      <c r="G16" s="47" t="s">
        <v>27</v>
      </c>
      <c r="H16" s="47" t="s">
        <v>27</v>
      </c>
      <c r="I16" s="46">
        <f>F16</f>
        <v>0</v>
      </c>
    </row>
    <row r="17" spans="1:9" x14ac:dyDescent="0.25">
      <c r="A17" s="155" t="s">
        <v>140</v>
      </c>
      <c r="B17" s="156"/>
      <c r="C17" s="156"/>
      <c r="D17" s="156"/>
      <c r="E17" s="157"/>
      <c r="F17" s="48">
        <v>0</v>
      </c>
      <c r="G17" s="49" t="s">
        <v>27</v>
      </c>
      <c r="H17" s="49" t="s">
        <v>27</v>
      </c>
      <c r="I17" s="48">
        <f>F17</f>
        <v>0</v>
      </c>
    </row>
    <row r="18" spans="1:9" x14ac:dyDescent="0.25">
      <c r="A18" s="158" t="s">
        <v>171</v>
      </c>
      <c r="B18" s="159"/>
      <c r="C18" s="159"/>
      <c r="D18" s="159"/>
      <c r="E18" s="160"/>
      <c r="F18" s="50" t="s">
        <v>27</v>
      </c>
      <c r="G18" s="51" t="s">
        <v>27</v>
      </c>
      <c r="H18" s="51" t="s">
        <v>27</v>
      </c>
      <c r="I18" s="52">
        <f>SUM(I15:I17)</f>
        <v>0</v>
      </c>
    </row>
    <row r="20" spans="1:9" x14ac:dyDescent="0.25">
      <c r="A20" s="149" t="s">
        <v>131</v>
      </c>
      <c r="B20" s="150"/>
      <c r="C20" s="150"/>
      <c r="D20" s="150"/>
      <c r="E20" s="151"/>
      <c r="F20" s="45" t="s">
        <v>168</v>
      </c>
      <c r="G20" s="45" t="s">
        <v>169</v>
      </c>
      <c r="H20" s="45" t="s">
        <v>170</v>
      </c>
      <c r="I20" s="45" t="s">
        <v>168</v>
      </c>
    </row>
    <row r="21" spans="1:9" x14ac:dyDescent="0.25">
      <c r="A21" s="152" t="s">
        <v>135</v>
      </c>
      <c r="B21" s="153"/>
      <c r="C21" s="153"/>
      <c r="D21" s="153"/>
      <c r="E21" s="154"/>
      <c r="F21" s="46">
        <v>0</v>
      </c>
      <c r="G21" s="47" t="s">
        <v>27</v>
      </c>
      <c r="H21" s="47" t="s">
        <v>27</v>
      </c>
      <c r="I21" s="46">
        <f t="shared" ref="I21:I26" si="0">F21</f>
        <v>0</v>
      </c>
    </row>
    <row r="22" spans="1:9" x14ac:dyDescent="0.25">
      <c r="A22" s="152" t="s">
        <v>138</v>
      </c>
      <c r="B22" s="153"/>
      <c r="C22" s="153"/>
      <c r="D22" s="153"/>
      <c r="E22" s="154"/>
      <c r="F22" s="46">
        <v>0</v>
      </c>
      <c r="G22" s="47" t="s">
        <v>27</v>
      </c>
      <c r="H22" s="47" t="s">
        <v>27</v>
      </c>
      <c r="I22" s="46">
        <f t="shared" si="0"/>
        <v>0</v>
      </c>
    </row>
    <row r="23" spans="1:9" x14ac:dyDescent="0.25">
      <c r="A23" s="152" t="s">
        <v>141</v>
      </c>
      <c r="B23" s="153"/>
      <c r="C23" s="153"/>
      <c r="D23" s="153"/>
      <c r="E23" s="154"/>
      <c r="F23" s="46">
        <v>0</v>
      </c>
      <c r="G23" s="47" t="s">
        <v>27</v>
      </c>
      <c r="H23" s="47" t="s">
        <v>27</v>
      </c>
      <c r="I23" s="46">
        <f t="shared" si="0"/>
        <v>0</v>
      </c>
    </row>
    <row r="24" spans="1:9" x14ac:dyDescent="0.25">
      <c r="A24" s="152" t="s">
        <v>142</v>
      </c>
      <c r="B24" s="153"/>
      <c r="C24" s="153"/>
      <c r="D24" s="153"/>
      <c r="E24" s="154"/>
      <c r="F24" s="46">
        <v>0</v>
      </c>
      <c r="G24" s="47" t="s">
        <v>27</v>
      </c>
      <c r="H24" s="47" t="s">
        <v>27</v>
      </c>
      <c r="I24" s="46">
        <f t="shared" si="0"/>
        <v>0</v>
      </c>
    </row>
    <row r="25" spans="1:9" x14ac:dyDescent="0.25">
      <c r="A25" s="152" t="s">
        <v>144</v>
      </c>
      <c r="B25" s="153"/>
      <c r="C25" s="153"/>
      <c r="D25" s="153"/>
      <c r="E25" s="154"/>
      <c r="F25" s="46">
        <v>0</v>
      </c>
      <c r="G25" s="47" t="s">
        <v>27</v>
      </c>
      <c r="H25" s="47" t="s">
        <v>27</v>
      </c>
      <c r="I25" s="46">
        <f t="shared" si="0"/>
        <v>0</v>
      </c>
    </row>
    <row r="26" spans="1:9" x14ac:dyDescent="0.25">
      <c r="A26" s="155" t="s">
        <v>145</v>
      </c>
      <c r="B26" s="156"/>
      <c r="C26" s="156"/>
      <c r="D26" s="156"/>
      <c r="E26" s="157"/>
      <c r="F26" s="48">
        <v>0</v>
      </c>
      <c r="G26" s="49" t="s">
        <v>27</v>
      </c>
      <c r="H26" s="49" t="s">
        <v>27</v>
      </c>
      <c r="I26" s="48">
        <f t="shared" si="0"/>
        <v>0</v>
      </c>
    </row>
    <row r="27" spans="1:9" x14ac:dyDescent="0.25">
      <c r="A27" s="158" t="s">
        <v>172</v>
      </c>
      <c r="B27" s="159"/>
      <c r="C27" s="159"/>
      <c r="D27" s="159"/>
      <c r="E27" s="160"/>
      <c r="F27" s="50" t="s">
        <v>27</v>
      </c>
      <c r="G27" s="51" t="s">
        <v>27</v>
      </c>
      <c r="H27" s="51" t="s">
        <v>27</v>
      </c>
      <c r="I27" s="52">
        <f>SUM(I21:I26)</f>
        <v>0</v>
      </c>
    </row>
    <row r="29" spans="1:9" ht="15.75" x14ac:dyDescent="0.25">
      <c r="A29" s="161" t="s">
        <v>173</v>
      </c>
      <c r="B29" s="162"/>
      <c r="C29" s="162"/>
      <c r="D29" s="162"/>
      <c r="E29" s="163"/>
      <c r="F29" s="164">
        <f>I18+I27</f>
        <v>0</v>
      </c>
      <c r="G29" s="165"/>
      <c r="H29" s="165"/>
      <c r="I29" s="166"/>
    </row>
    <row r="33" spans="1:9" ht="15.75" x14ac:dyDescent="0.25">
      <c r="A33" s="148" t="s">
        <v>174</v>
      </c>
      <c r="B33" s="148"/>
      <c r="C33" s="148"/>
      <c r="D33" s="148"/>
      <c r="E33" s="148"/>
    </row>
    <row r="34" spans="1:9" x14ac:dyDescent="0.25">
      <c r="A34" s="149" t="s">
        <v>175</v>
      </c>
      <c r="B34" s="150"/>
      <c r="C34" s="150"/>
      <c r="D34" s="150"/>
      <c r="E34" s="151"/>
      <c r="F34" s="45" t="s">
        <v>168</v>
      </c>
      <c r="G34" s="45" t="s">
        <v>169</v>
      </c>
      <c r="H34" s="45" t="s">
        <v>170</v>
      </c>
      <c r="I34" s="45" t="s">
        <v>168</v>
      </c>
    </row>
    <row r="35" spans="1:9" x14ac:dyDescent="0.25">
      <c r="A35" s="155" t="s">
        <v>27</v>
      </c>
      <c r="B35" s="156"/>
      <c r="C35" s="156"/>
      <c r="D35" s="156"/>
      <c r="E35" s="157"/>
      <c r="F35" s="48">
        <v>0</v>
      </c>
      <c r="G35" s="49" t="s">
        <v>27</v>
      </c>
      <c r="H35" s="49" t="s">
        <v>27</v>
      </c>
      <c r="I35" s="48">
        <f>F35</f>
        <v>0</v>
      </c>
    </row>
    <row r="36" spans="1:9" x14ac:dyDescent="0.25">
      <c r="A36" s="158" t="s">
        <v>176</v>
      </c>
      <c r="B36" s="159"/>
      <c r="C36" s="159"/>
      <c r="D36" s="159"/>
      <c r="E36" s="160"/>
      <c r="F36" s="50" t="s">
        <v>27</v>
      </c>
      <c r="G36" s="51" t="s">
        <v>27</v>
      </c>
      <c r="H36" s="51" t="s">
        <v>27</v>
      </c>
      <c r="I36" s="52">
        <f>SUM(I35:I35)</f>
        <v>0</v>
      </c>
    </row>
  </sheetData>
  <mergeCells count="51">
    <mergeCell ref="A36:E36"/>
    <mergeCell ref="A29:E29"/>
    <mergeCell ref="F29:I29"/>
    <mergeCell ref="A33:E33"/>
    <mergeCell ref="A34:E34"/>
    <mergeCell ref="A35:E35"/>
    <mergeCell ref="A23:E23"/>
    <mergeCell ref="A24:E24"/>
    <mergeCell ref="A25:E25"/>
    <mergeCell ref="A26:E26"/>
    <mergeCell ref="A27:E27"/>
    <mergeCell ref="A17:E17"/>
    <mergeCell ref="A18:E18"/>
    <mergeCell ref="A20:E20"/>
    <mergeCell ref="A21:E21"/>
    <mergeCell ref="A22:E22"/>
    <mergeCell ref="I10:I11"/>
    <mergeCell ref="A13:E13"/>
    <mergeCell ref="A14:E14"/>
    <mergeCell ref="A15:E15"/>
    <mergeCell ref="A16:E16"/>
    <mergeCell ref="H10:H11"/>
    <mergeCell ref="C2:D3"/>
    <mergeCell ref="C4:D5"/>
    <mergeCell ref="C6:D7"/>
    <mergeCell ref="C8:D9"/>
    <mergeCell ref="C10:D11"/>
    <mergeCell ref="F2:G3"/>
    <mergeCell ref="F4:G5"/>
    <mergeCell ref="F6:G7"/>
    <mergeCell ref="F8:G9"/>
    <mergeCell ref="F10:G11"/>
    <mergeCell ref="A10:B11"/>
    <mergeCell ref="E2:E3"/>
    <mergeCell ref="E4:E5"/>
    <mergeCell ref="E6:E7"/>
    <mergeCell ref="E8:E9"/>
    <mergeCell ref="E10:E11"/>
    <mergeCell ref="A1:I1"/>
    <mergeCell ref="A2:B3"/>
    <mergeCell ref="A4:B5"/>
    <mergeCell ref="A6:B7"/>
    <mergeCell ref="A8:B9"/>
    <mergeCell ref="H2:H3"/>
    <mergeCell ref="H4:H5"/>
    <mergeCell ref="H6:H7"/>
    <mergeCell ref="H8:H9"/>
    <mergeCell ref="I2:I3"/>
    <mergeCell ref="I4:I5"/>
    <mergeCell ref="I6:I7"/>
    <mergeCell ref="I8:I9"/>
  </mergeCells>
  <pageMargins left="0.393999993801117" right="0.393999993801117" top="0.59100002050399802" bottom="0.59100002050399802" header="0" footer="0"/>
  <pageSetup fitToHeight="0"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Z70"/>
  <sheetViews>
    <sheetView workbookViewId="0">
      <pane ySplit="11" topLeftCell="A12" activePane="bottomLeft" state="frozen"/>
      <selection pane="bottomLeft" activeCell="A70" sqref="A70:P70"/>
    </sheetView>
  </sheetViews>
  <sheetFormatPr defaultColWidth="12.140625" defaultRowHeight="15" customHeight="1" x14ac:dyDescent="0.25"/>
  <cols>
    <col min="1" max="1" width="4" customWidth="1"/>
    <col min="2" max="2" width="7.5703125" customWidth="1"/>
    <col min="3" max="3" width="17.85546875" customWidth="1"/>
    <col min="4" max="4" width="42.85546875" customWidth="1"/>
    <col min="5" max="5" width="35.7109375" customWidth="1"/>
    <col min="6" max="6" width="4.42578125" customWidth="1"/>
    <col min="7" max="7" width="12.85546875" customWidth="1"/>
    <col min="8" max="8" width="12" customWidth="1"/>
    <col min="9" max="9" width="11.140625" customWidth="1"/>
    <col min="10" max="13" width="15.7109375" customWidth="1"/>
    <col min="14" max="15" width="11.7109375" customWidth="1"/>
    <col min="16" max="16" width="13.42578125" customWidth="1"/>
    <col min="25" max="75" width="12.140625" hidden="1"/>
    <col min="76" max="76" width="78.5703125" hidden="1" customWidth="1"/>
    <col min="77" max="78" width="12.140625" hidden="1"/>
  </cols>
  <sheetData>
    <row r="1" spans="1:76" ht="54.75" customHeight="1" x14ac:dyDescent="0.25">
      <c r="A1" s="86" t="s">
        <v>0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AS1" s="19">
        <f>SUM(AJ1:AJ2)</f>
        <v>0</v>
      </c>
      <c r="AT1" s="19">
        <f>SUM(AK1:AK2)</f>
        <v>0</v>
      </c>
      <c r="AU1" s="19">
        <f>SUM(AL1:AL2)</f>
        <v>0</v>
      </c>
    </row>
    <row r="2" spans="1:76" x14ac:dyDescent="0.25">
      <c r="A2" s="87" t="s">
        <v>1</v>
      </c>
      <c r="B2" s="88"/>
      <c r="C2" s="88"/>
      <c r="D2" s="94" t="s">
        <v>177</v>
      </c>
      <c r="E2" s="112"/>
      <c r="F2" s="88" t="s">
        <v>2</v>
      </c>
      <c r="G2" s="88"/>
      <c r="H2" s="88" t="s">
        <v>25</v>
      </c>
      <c r="I2" s="97" t="s">
        <v>3</v>
      </c>
      <c r="J2" s="88" t="s">
        <v>178</v>
      </c>
      <c r="K2" s="88"/>
      <c r="L2" s="88"/>
      <c r="M2" s="88"/>
      <c r="N2" s="88"/>
      <c r="O2" s="88"/>
      <c r="P2" s="98"/>
    </row>
    <row r="3" spans="1:76" x14ac:dyDescent="0.25">
      <c r="A3" s="89"/>
      <c r="B3" s="90"/>
      <c r="C3" s="90"/>
      <c r="D3" s="95"/>
      <c r="E3" s="95"/>
      <c r="F3" s="90"/>
      <c r="G3" s="90"/>
      <c r="H3" s="90"/>
      <c r="I3" s="90"/>
      <c r="J3" s="90"/>
      <c r="K3" s="90"/>
      <c r="L3" s="90"/>
      <c r="M3" s="90"/>
      <c r="N3" s="90"/>
      <c r="O3" s="90"/>
      <c r="P3" s="99"/>
    </row>
    <row r="4" spans="1:76" x14ac:dyDescent="0.25">
      <c r="A4" s="91" t="s">
        <v>4</v>
      </c>
      <c r="B4" s="90"/>
      <c r="C4" s="90"/>
      <c r="D4" s="96" t="s">
        <v>25</v>
      </c>
      <c r="E4" s="90"/>
      <c r="F4" s="90" t="s">
        <v>5</v>
      </c>
      <c r="G4" s="90"/>
      <c r="H4" s="90" t="s">
        <v>179</v>
      </c>
      <c r="I4" s="96" t="s">
        <v>6</v>
      </c>
      <c r="J4" s="90" t="s">
        <v>178</v>
      </c>
      <c r="K4" s="90"/>
      <c r="L4" s="90"/>
      <c r="M4" s="90"/>
      <c r="N4" s="90"/>
      <c r="O4" s="90"/>
      <c r="P4" s="99"/>
    </row>
    <row r="5" spans="1:76" x14ac:dyDescent="0.25">
      <c r="A5" s="89"/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9"/>
    </row>
    <row r="6" spans="1:76" x14ac:dyDescent="0.25">
      <c r="A6" s="91" t="s">
        <v>7</v>
      </c>
      <c r="B6" s="90"/>
      <c r="C6" s="90"/>
      <c r="D6" s="96" t="s">
        <v>180</v>
      </c>
      <c r="E6" s="90"/>
      <c r="F6" s="90" t="s">
        <v>8</v>
      </c>
      <c r="G6" s="90"/>
      <c r="H6" s="90" t="s">
        <v>25</v>
      </c>
      <c r="I6" s="96" t="s">
        <v>9</v>
      </c>
      <c r="J6" s="90" t="s">
        <v>178</v>
      </c>
      <c r="K6" s="90"/>
      <c r="L6" s="90"/>
      <c r="M6" s="90"/>
      <c r="N6" s="90"/>
      <c r="O6" s="90"/>
      <c r="P6" s="99"/>
    </row>
    <row r="7" spans="1:76" x14ac:dyDescent="0.25">
      <c r="A7" s="89"/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9"/>
    </row>
    <row r="8" spans="1:76" x14ac:dyDescent="0.25">
      <c r="A8" s="91" t="s">
        <v>10</v>
      </c>
      <c r="B8" s="90"/>
      <c r="C8" s="90"/>
      <c r="D8" s="96" t="s">
        <v>25</v>
      </c>
      <c r="E8" s="90"/>
      <c r="F8" s="90" t="s">
        <v>11</v>
      </c>
      <c r="G8" s="90"/>
      <c r="H8" s="90" t="s">
        <v>179</v>
      </c>
      <c r="I8" s="96" t="s">
        <v>12</v>
      </c>
      <c r="J8" s="96" t="s">
        <v>181</v>
      </c>
      <c r="K8" s="90"/>
      <c r="L8" s="90"/>
      <c r="M8" s="90"/>
      <c r="N8" s="90"/>
      <c r="O8" s="90"/>
      <c r="P8" s="99"/>
    </row>
    <row r="9" spans="1:76" x14ac:dyDescent="0.25">
      <c r="A9" s="167"/>
      <c r="B9" s="168"/>
      <c r="C9" s="168"/>
      <c r="D9" s="168"/>
      <c r="E9" s="168"/>
      <c r="F9" s="168"/>
      <c r="G9" s="168"/>
      <c r="H9" s="168"/>
      <c r="I9" s="168"/>
      <c r="J9" s="168"/>
      <c r="K9" s="168"/>
      <c r="L9" s="168"/>
      <c r="M9" s="168"/>
      <c r="N9" s="168"/>
      <c r="O9" s="168"/>
      <c r="P9" s="169"/>
    </row>
    <row r="10" spans="1:76" x14ac:dyDescent="0.25">
      <c r="A10" s="53" t="s">
        <v>13</v>
      </c>
      <c r="B10" s="54" t="s">
        <v>14</v>
      </c>
      <c r="C10" s="54" t="s">
        <v>15</v>
      </c>
      <c r="D10" s="170" t="s">
        <v>16</v>
      </c>
      <c r="E10" s="171"/>
      <c r="F10" s="54" t="s">
        <v>17</v>
      </c>
      <c r="G10" s="55" t="s">
        <v>19</v>
      </c>
      <c r="H10" s="56" t="s">
        <v>182</v>
      </c>
      <c r="I10" s="57" t="s">
        <v>18</v>
      </c>
      <c r="J10" s="174" t="s">
        <v>183</v>
      </c>
      <c r="K10" s="175"/>
      <c r="L10" s="176"/>
      <c r="M10" s="58" t="s">
        <v>183</v>
      </c>
      <c r="N10" s="177" t="s">
        <v>184</v>
      </c>
      <c r="O10" s="178"/>
      <c r="P10" s="59" t="s">
        <v>185</v>
      </c>
      <c r="BK10" s="18" t="s">
        <v>24</v>
      </c>
      <c r="BL10" s="60" t="s">
        <v>23</v>
      </c>
      <c r="BW10" s="60" t="s">
        <v>186</v>
      </c>
    </row>
    <row r="11" spans="1:76" x14ac:dyDescent="0.25">
      <c r="A11" s="61" t="s">
        <v>25</v>
      </c>
      <c r="B11" s="62" t="s">
        <v>25</v>
      </c>
      <c r="C11" s="62" t="s">
        <v>25</v>
      </c>
      <c r="D11" s="172" t="s">
        <v>187</v>
      </c>
      <c r="E11" s="173"/>
      <c r="F11" s="62" t="s">
        <v>25</v>
      </c>
      <c r="G11" s="62" t="s">
        <v>25</v>
      </c>
      <c r="H11" s="63" t="s">
        <v>188</v>
      </c>
      <c r="I11" s="64" t="s">
        <v>25</v>
      </c>
      <c r="J11" s="65" t="s">
        <v>189</v>
      </c>
      <c r="K11" s="66" t="s">
        <v>136</v>
      </c>
      <c r="L11" s="67" t="s">
        <v>190</v>
      </c>
      <c r="M11" s="68" t="s">
        <v>191</v>
      </c>
      <c r="N11" s="69" t="s">
        <v>192</v>
      </c>
      <c r="O11" s="70" t="s">
        <v>190</v>
      </c>
      <c r="P11" s="71" t="s">
        <v>193</v>
      </c>
      <c r="Z11" s="18" t="s">
        <v>194</v>
      </c>
      <c r="AA11" s="18" t="s">
        <v>195</v>
      </c>
      <c r="AB11" s="18" t="s">
        <v>196</v>
      </c>
      <c r="AC11" s="18" t="s">
        <v>197</v>
      </c>
      <c r="AD11" s="18" t="s">
        <v>198</v>
      </c>
      <c r="AE11" s="18" t="s">
        <v>199</v>
      </c>
      <c r="AF11" s="18" t="s">
        <v>200</v>
      </c>
      <c r="AG11" s="18" t="s">
        <v>201</v>
      </c>
      <c r="AH11" s="18" t="s">
        <v>202</v>
      </c>
      <c r="BH11" s="18" t="s">
        <v>203</v>
      </c>
      <c r="BI11" s="18" t="s">
        <v>204</v>
      </c>
      <c r="BJ11" s="18" t="s">
        <v>205</v>
      </c>
    </row>
    <row r="12" spans="1:76" x14ac:dyDescent="0.25">
      <c r="A12" s="72" t="s">
        <v>27</v>
      </c>
      <c r="B12" s="12" t="s">
        <v>26</v>
      </c>
      <c r="C12" s="12" t="s">
        <v>27</v>
      </c>
      <c r="D12" s="101" t="s">
        <v>28</v>
      </c>
      <c r="E12" s="102"/>
      <c r="F12" s="73" t="s">
        <v>25</v>
      </c>
      <c r="G12" s="73" t="s">
        <v>25</v>
      </c>
      <c r="H12" s="73" t="s">
        <v>25</v>
      </c>
      <c r="I12" s="73" t="s">
        <v>25</v>
      </c>
      <c r="J12" s="14">
        <f>J13+J17+J20+J23+J26+J30+J33+J37+J40</f>
        <v>0</v>
      </c>
      <c r="K12" s="14">
        <f>K13+K17+K20+K23+K26+K30+K33+K37+K40</f>
        <v>0</v>
      </c>
      <c r="L12" s="14">
        <f>L13+L17+L20+L23+L26+L30+L33+L37+L40</f>
        <v>0</v>
      </c>
      <c r="M12" s="14">
        <f>M13+M17+M20+M23+M26+M30+M33+M37+M40</f>
        <v>0</v>
      </c>
      <c r="N12" s="13" t="s">
        <v>27</v>
      </c>
      <c r="O12" s="14">
        <f>O13+O17+O20+O23+O26+O30+O33+O37+O40</f>
        <v>36.294174999999996</v>
      </c>
      <c r="P12" s="74" t="s">
        <v>27</v>
      </c>
    </row>
    <row r="13" spans="1:76" x14ac:dyDescent="0.25">
      <c r="A13" s="75" t="s">
        <v>27</v>
      </c>
      <c r="B13" s="17" t="s">
        <v>26</v>
      </c>
      <c r="C13" s="17" t="s">
        <v>29</v>
      </c>
      <c r="D13" s="103" t="s">
        <v>30</v>
      </c>
      <c r="E13" s="104"/>
      <c r="F13" s="76" t="s">
        <v>25</v>
      </c>
      <c r="G13" s="76" t="s">
        <v>25</v>
      </c>
      <c r="H13" s="76" t="s">
        <v>25</v>
      </c>
      <c r="I13" s="76" t="s">
        <v>25</v>
      </c>
      <c r="J13" s="19">
        <f>SUM(J14:J14)</f>
        <v>0</v>
      </c>
      <c r="K13" s="19">
        <f>SUM(K14:K14)</f>
        <v>0</v>
      </c>
      <c r="L13" s="19">
        <f>SUM(L14:L14)</f>
        <v>0</v>
      </c>
      <c r="M13" s="19">
        <f>SUM(M14:M14)</f>
        <v>0</v>
      </c>
      <c r="N13" s="18" t="s">
        <v>27</v>
      </c>
      <c r="O13" s="19">
        <f>SUM(O14:O14)</f>
        <v>0</v>
      </c>
      <c r="P13" s="77" t="s">
        <v>27</v>
      </c>
      <c r="AI13" s="18" t="s">
        <v>26</v>
      </c>
      <c r="AS13" s="19">
        <f>SUM(AJ14:AJ14)</f>
        <v>0</v>
      </c>
      <c r="AT13" s="19">
        <f>SUM(AK14:AK14)</f>
        <v>0</v>
      </c>
      <c r="AU13" s="19">
        <f>SUM(AL14:AL14)</f>
        <v>0</v>
      </c>
    </row>
    <row r="14" spans="1:76" x14ac:dyDescent="0.25">
      <c r="A14" s="1" t="s">
        <v>72</v>
      </c>
      <c r="B14" s="2" t="s">
        <v>26</v>
      </c>
      <c r="C14" s="2" t="s">
        <v>31</v>
      </c>
      <c r="D14" s="96" t="s">
        <v>32</v>
      </c>
      <c r="E14" s="90"/>
      <c r="F14" s="2" t="s">
        <v>33</v>
      </c>
      <c r="G14" s="23">
        <f>'Rozpočet - vybrané sloupce'!H13</f>
        <v>15.78</v>
      </c>
      <c r="H14" s="23">
        <f>'Rozpočet - vybrané sloupce'!I13</f>
        <v>0</v>
      </c>
      <c r="I14" s="22">
        <v>21</v>
      </c>
      <c r="J14" s="23">
        <f>ROUND(G14*AO14,2)</f>
        <v>0</v>
      </c>
      <c r="K14" s="23">
        <f>ROUND(G14*AP14,2)</f>
        <v>0</v>
      </c>
      <c r="L14" s="23">
        <f>ROUND(G14*H14,2)</f>
        <v>0</v>
      </c>
      <c r="M14" s="23">
        <f>L14*(1+BW14/100)</f>
        <v>0</v>
      </c>
      <c r="N14" s="23">
        <v>0</v>
      </c>
      <c r="O14" s="23">
        <f>G14*N14</f>
        <v>0</v>
      </c>
      <c r="P14" s="78" t="s">
        <v>34</v>
      </c>
      <c r="Z14" s="23">
        <f>ROUND(IF(AQ14="5",BJ14,0),2)</f>
        <v>0</v>
      </c>
      <c r="AB14" s="23">
        <f>ROUND(IF(AQ14="1",BH14,0),2)</f>
        <v>0</v>
      </c>
      <c r="AC14" s="23">
        <f>ROUND(IF(AQ14="1",BI14,0),2)</f>
        <v>0</v>
      </c>
      <c r="AD14" s="23">
        <f>ROUND(IF(AQ14="7",BH14,0),2)</f>
        <v>0</v>
      </c>
      <c r="AE14" s="23">
        <f>ROUND(IF(AQ14="7",BI14,0),2)</f>
        <v>0</v>
      </c>
      <c r="AF14" s="23">
        <f>ROUND(IF(AQ14="2",BH14,0),2)</f>
        <v>0</v>
      </c>
      <c r="AG14" s="23">
        <f>ROUND(IF(AQ14="2",BI14,0),2)</f>
        <v>0</v>
      </c>
      <c r="AH14" s="23">
        <f>ROUND(IF(AQ14="0",BJ14,0),2)</f>
        <v>0</v>
      </c>
      <c r="AI14" s="18" t="s">
        <v>26</v>
      </c>
      <c r="AJ14" s="23">
        <f>IF(AN14=0,L14,0)</f>
        <v>0</v>
      </c>
      <c r="AK14" s="23">
        <f>IF(AN14=12,L14,0)</f>
        <v>0</v>
      </c>
      <c r="AL14" s="23">
        <f>IF(AN14=21,L14,0)</f>
        <v>0</v>
      </c>
      <c r="AN14" s="23">
        <v>21</v>
      </c>
      <c r="AO14" s="23">
        <f>H14*0</f>
        <v>0</v>
      </c>
      <c r="AP14" s="23">
        <f>H14*(1-0)</f>
        <v>0</v>
      </c>
      <c r="AQ14" s="79" t="s">
        <v>72</v>
      </c>
      <c r="AV14" s="23">
        <f>ROUND(AW14+AX14,2)</f>
        <v>0</v>
      </c>
      <c r="AW14" s="23">
        <f>ROUND(G14*AO14,2)</f>
        <v>0</v>
      </c>
      <c r="AX14" s="23">
        <f>ROUND(G14*AP14,2)</f>
        <v>0</v>
      </c>
      <c r="AY14" s="79" t="s">
        <v>206</v>
      </c>
      <c r="AZ14" s="79" t="s">
        <v>207</v>
      </c>
      <c r="BA14" s="18" t="s">
        <v>208</v>
      </c>
      <c r="BC14" s="23">
        <f>AW14+AX14</f>
        <v>0</v>
      </c>
      <c r="BD14" s="23">
        <f>H14/(100-BE14)*100</f>
        <v>0</v>
      </c>
      <c r="BE14" s="23">
        <v>0</v>
      </c>
      <c r="BF14" s="23">
        <f>O14</f>
        <v>0</v>
      </c>
      <c r="BH14" s="23">
        <f>G14*AO14</f>
        <v>0</v>
      </c>
      <c r="BI14" s="23">
        <f>G14*AP14</f>
        <v>0</v>
      </c>
      <c r="BJ14" s="23">
        <f>G14*H14</f>
        <v>0</v>
      </c>
      <c r="BK14" s="79" t="s">
        <v>35</v>
      </c>
      <c r="BL14" s="23">
        <v>12</v>
      </c>
      <c r="BW14" s="23">
        <f>I14</f>
        <v>21</v>
      </c>
      <c r="BX14" s="5" t="s">
        <v>32</v>
      </c>
    </row>
    <row r="15" spans="1:76" ht="27" customHeight="1" x14ac:dyDescent="0.25">
      <c r="A15" s="80"/>
      <c r="C15" s="25" t="s">
        <v>209</v>
      </c>
      <c r="D15" s="107" t="s">
        <v>210</v>
      </c>
      <c r="E15" s="108"/>
      <c r="F15" s="108"/>
      <c r="G15" s="108"/>
      <c r="H15" s="108"/>
      <c r="I15" s="108"/>
      <c r="J15" s="108"/>
      <c r="K15" s="108"/>
      <c r="L15" s="108"/>
      <c r="M15" s="108"/>
      <c r="N15" s="108"/>
      <c r="O15" s="108"/>
      <c r="P15" s="109"/>
    </row>
    <row r="16" spans="1:76" ht="27" customHeight="1" x14ac:dyDescent="0.25">
      <c r="A16" s="80"/>
      <c r="C16" s="25" t="s">
        <v>36</v>
      </c>
      <c r="D16" s="107" t="s">
        <v>37</v>
      </c>
      <c r="E16" s="108"/>
      <c r="F16" s="108"/>
      <c r="G16" s="108"/>
      <c r="H16" s="108"/>
      <c r="I16" s="108"/>
      <c r="J16" s="108"/>
      <c r="K16" s="108"/>
      <c r="L16" s="108"/>
      <c r="M16" s="108"/>
      <c r="N16" s="108"/>
      <c r="O16" s="108"/>
      <c r="P16" s="109"/>
    </row>
    <row r="17" spans="1:76" x14ac:dyDescent="0.25">
      <c r="A17" s="75" t="s">
        <v>27</v>
      </c>
      <c r="B17" s="17" t="s">
        <v>26</v>
      </c>
      <c r="C17" s="17" t="s">
        <v>38</v>
      </c>
      <c r="D17" s="103" t="s">
        <v>39</v>
      </c>
      <c r="E17" s="104"/>
      <c r="F17" s="76" t="s">
        <v>25</v>
      </c>
      <c r="G17" s="76" t="s">
        <v>25</v>
      </c>
      <c r="H17" s="76" t="s">
        <v>25</v>
      </c>
      <c r="I17" s="76" t="s">
        <v>25</v>
      </c>
      <c r="J17" s="19">
        <f>SUM(J18:J18)</f>
        <v>0</v>
      </c>
      <c r="K17" s="19">
        <f>SUM(K18:K18)</f>
        <v>0</v>
      </c>
      <c r="L17" s="19">
        <f>SUM(L18:L18)</f>
        <v>0</v>
      </c>
      <c r="M17" s="19">
        <f>SUM(M18:M18)</f>
        <v>0</v>
      </c>
      <c r="N17" s="18" t="s">
        <v>27</v>
      </c>
      <c r="O17" s="19">
        <f>SUM(O18:O18)</f>
        <v>10.8864</v>
      </c>
      <c r="P17" s="77" t="s">
        <v>27</v>
      </c>
      <c r="AI17" s="18" t="s">
        <v>26</v>
      </c>
      <c r="AS17" s="19">
        <f>SUM(AJ18:AJ18)</f>
        <v>0</v>
      </c>
      <c r="AT17" s="19">
        <f>SUM(AK18:AK18)</f>
        <v>0</v>
      </c>
      <c r="AU17" s="19">
        <f>SUM(AL18:AL18)</f>
        <v>0</v>
      </c>
    </row>
    <row r="18" spans="1:76" x14ac:dyDescent="0.25">
      <c r="A18" s="1" t="s">
        <v>211</v>
      </c>
      <c r="B18" s="2" t="s">
        <v>26</v>
      </c>
      <c r="C18" s="2" t="s">
        <v>40</v>
      </c>
      <c r="D18" s="96" t="s">
        <v>41</v>
      </c>
      <c r="E18" s="90"/>
      <c r="F18" s="2" t="s">
        <v>33</v>
      </c>
      <c r="G18" s="23">
        <f>'Rozpočet - vybrané sloupce'!H16</f>
        <v>5.04</v>
      </c>
      <c r="H18" s="23">
        <f>'Rozpočet - vybrané sloupce'!I16</f>
        <v>0</v>
      </c>
      <c r="I18" s="22">
        <v>21</v>
      </c>
      <c r="J18" s="23">
        <f>ROUND(G18*AO18,2)</f>
        <v>0</v>
      </c>
      <c r="K18" s="23">
        <f>ROUND(G18*AP18,2)</f>
        <v>0</v>
      </c>
      <c r="L18" s="23">
        <f>ROUND(G18*H18,2)</f>
        <v>0</v>
      </c>
      <c r="M18" s="23">
        <f>L18*(1+BW18/100)</f>
        <v>0</v>
      </c>
      <c r="N18" s="23">
        <v>2.16</v>
      </c>
      <c r="O18" s="23">
        <f>G18*N18</f>
        <v>10.8864</v>
      </c>
      <c r="P18" s="78" t="s">
        <v>34</v>
      </c>
      <c r="Z18" s="23">
        <f>ROUND(IF(AQ18="5",BJ18,0),2)</f>
        <v>0</v>
      </c>
      <c r="AB18" s="23">
        <f>ROUND(IF(AQ18="1",BH18,0),2)</f>
        <v>0</v>
      </c>
      <c r="AC18" s="23">
        <f>ROUND(IF(AQ18="1",BI18,0),2)</f>
        <v>0</v>
      </c>
      <c r="AD18" s="23">
        <f>ROUND(IF(AQ18="7",BH18,0),2)</f>
        <v>0</v>
      </c>
      <c r="AE18" s="23">
        <f>ROUND(IF(AQ18="7",BI18,0),2)</f>
        <v>0</v>
      </c>
      <c r="AF18" s="23">
        <f>ROUND(IF(AQ18="2",BH18,0),2)</f>
        <v>0</v>
      </c>
      <c r="AG18" s="23">
        <f>ROUND(IF(AQ18="2",BI18,0),2)</f>
        <v>0</v>
      </c>
      <c r="AH18" s="23">
        <f>ROUND(IF(AQ18="0",BJ18,0),2)</f>
        <v>0</v>
      </c>
      <c r="AI18" s="18" t="s">
        <v>26</v>
      </c>
      <c r="AJ18" s="23">
        <f>IF(AN18=0,L18,0)</f>
        <v>0</v>
      </c>
      <c r="AK18" s="23">
        <f>IF(AN18=12,L18,0)</f>
        <v>0</v>
      </c>
      <c r="AL18" s="23">
        <f>IF(AN18=21,L18,0)</f>
        <v>0</v>
      </c>
      <c r="AN18" s="23">
        <v>21</v>
      </c>
      <c r="AO18" s="23">
        <f>H18*0.659813615</f>
        <v>0</v>
      </c>
      <c r="AP18" s="23">
        <f>H18*(1-0.659813615)</f>
        <v>0</v>
      </c>
      <c r="AQ18" s="79" t="s">
        <v>72</v>
      </c>
      <c r="AV18" s="23">
        <f>ROUND(AW18+AX18,2)</f>
        <v>0</v>
      </c>
      <c r="AW18" s="23">
        <f>ROUND(G18*AO18,2)</f>
        <v>0</v>
      </c>
      <c r="AX18" s="23">
        <f>ROUND(G18*AP18,2)</f>
        <v>0</v>
      </c>
      <c r="AY18" s="79" t="s">
        <v>212</v>
      </c>
      <c r="AZ18" s="79" t="s">
        <v>213</v>
      </c>
      <c r="BA18" s="18" t="s">
        <v>208</v>
      </c>
      <c r="BC18" s="23">
        <f>AW18+AX18</f>
        <v>0</v>
      </c>
      <c r="BD18" s="23">
        <f>H18/(100-BE18)*100</f>
        <v>0</v>
      </c>
      <c r="BE18" s="23">
        <v>0</v>
      </c>
      <c r="BF18" s="23">
        <f>O18</f>
        <v>10.8864</v>
      </c>
      <c r="BH18" s="23">
        <f>G18*AO18</f>
        <v>0</v>
      </c>
      <c r="BI18" s="23">
        <f>G18*AP18</f>
        <v>0</v>
      </c>
      <c r="BJ18" s="23">
        <f>G18*H18</f>
        <v>0</v>
      </c>
      <c r="BK18" s="79" t="s">
        <v>35</v>
      </c>
      <c r="BL18" s="23">
        <v>27</v>
      </c>
      <c r="BW18" s="23">
        <f>I18</f>
        <v>21</v>
      </c>
      <c r="BX18" s="5" t="s">
        <v>41</v>
      </c>
    </row>
    <row r="19" spans="1:76" ht="13.5" customHeight="1" x14ac:dyDescent="0.25">
      <c r="A19" s="80"/>
      <c r="C19" s="25" t="s">
        <v>36</v>
      </c>
      <c r="D19" s="107" t="s">
        <v>42</v>
      </c>
      <c r="E19" s="108"/>
      <c r="F19" s="108"/>
      <c r="G19" s="108"/>
      <c r="H19" s="108"/>
      <c r="I19" s="108"/>
      <c r="J19" s="108"/>
      <c r="K19" s="108"/>
      <c r="L19" s="108"/>
      <c r="M19" s="108"/>
      <c r="N19" s="108"/>
      <c r="O19" s="108"/>
      <c r="P19" s="109"/>
    </row>
    <row r="20" spans="1:76" x14ac:dyDescent="0.25">
      <c r="A20" s="75" t="s">
        <v>27</v>
      </c>
      <c r="B20" s="17" t="s">
        <v>26</v>
      </c>
      <c r="C20" s="17" t="s">
        <v>43</v>
      </c>
      <c r="D20" s="103" t="s">
        <v>44</v>
      </c>
      <c r="E20" s="104"/>
      <c r="F20" s="76" t="s">
        <v>25</v>
      </c>
      <c r="G20" s="76" t="s">
        <v>25</v>
      </c>
      <c r="H20" s="76" t="s">
        <v>25</v>
      </c>
      <c r="I20" s="76" t="s">
        <v>25</v>
      </c>
      <c r="J20" s="19">
        <f>SUM(J21:J21)</f>
        <v>0</v>
      </c>
      <c r="K20" s="19">
        <f>SUM(K21:K21)</f>
        <v>0</v>
      </c>
      <c r="L20" s="19">
        <f>SUM(L21:L21)</f>
        <v>0</v>
      </c>
      <c r="M20" s="19">
        <f>SUM(M21:M21)</f>
        <v>0</v>
      </c>
      <c r="N20" s="18" t="s">
        <v>27</v>
      </c>
      <c r="O20" s="19">
        <f>SUM(O21:O21)</f>
        <v>1.7500000000000002E-2</v>
      </c>
      <c r="P20" s="77" t="s">
        <v>27</v>
      </c>
      <c r="AI20" s="18" t="s">
        <v>26</v>
      </c>
      <c r="AS20" s="19">
        <f>SUM(AJ21:AJ21)</f>
        <v>0</v>
      </c>
      <c r="AT20" s="19">
        <f>SUM(AK21:AK21)</f>
        <v>0</v>
      </c>
      <c r="AU20" s="19">
        <f>SUM(AL21:AL21)</f>
        <v>0</v>
      </c>
    </row>
    <row r="21" spans="1:76" x14ac:dyDescent="0.25">
      <c r="A21" s="1" t="s">
        <v>214</v>
      </c>
      <c r="B21" s="2" t="s">
        <v>26</v>
      </c>
      <c r="C21" s="2" t="s">
        <v>45</v>
      </c>
      <c r="D21" s="96" t="s">
        <v>46</v>
      </c>
      <c r="E21" s="90"/>
      <c r="F21" s="2" t="s">
        <v>47</v>
      </c>
      <c r="G21" s="23">
        <f>'Rozpočet - vybrané sloupce'!H19</f>
        <v>35</v>
      </c>
      <c r="H21" s="23">
        <f>'Rozpočet - vybrané sloupce'!I19</f>
        <v>0</v>
      </c>
      <c r="I21" s="22">
        <v>21</v>
      </c>
      <c r="J21" s="23">
        <f>ROUND(G21*AO21,2)</f>
        <v>0</v>
      </c>
      <c r="K21" s="23">
        <f>ROUND(G21*AP21,2)</f>
        <v>0</v>
      </c>
      <c r="L21" s="23">
        <f>ROUND(G21*H21,2)</f>
        <v>0</v>
      </c>
      <c r="M21" s="23">
        <f>L21*(1+BW21/100)</f>
        <v>0</v>
      </c>
      <c r="N21" s="23">
        <v>5.0000000000000001E-4</v>
      </c>
      <c r="O21" s="23">
        <f>G21*N21</f>
        <v>1.7500000000000002E-2</v>
      </c>
      <c r="P21" s="78" t="s">
        <v>34</v>
      </c>
      <c r="Z21" s="23">
        <f>ROUND(IF(AQ21="5",BJ21,0),2)</f>
        <v>0</v>
      </c>
      <c r="AB21" s="23">
        <f>ROUND(IF(AQ21="1",BH21,0),2)</f>
        <v>0</v>
      </c>
      <c r="AC21" s="23">
        <f>ROUND(IF(AQ21="1",BI21,0),2)</f>
        <v>0</v>
      </c>
      <c r="AD21" s="23">
        <f>ROUND(IF(AQ21="7",BH21,0),2)</f>
        <v>0</v>
      </c>
      <c r="AE21" s="23">
        <f>ROUND(IF(AQ21="7",BI21,0),2)</f>
        <v>0</v>
      </c>
      <c r="AF21" s="23">
        <f>ROUND(IF(AQ21="2",BH21,0),2)</f>
        <v>0</v>
      </c>
      <c r="AG21" s="23">
        <f>ROUND(IF(AQ21="2",BI21,0),2)</f>
        <v>0</v>
      </c>
      <c r="AH21" s="23">
        <f>ROUND(IF(AQ21="0",BJ21,0),2)</f>
        <v>0</v>
      </c>
      <c r="AI21" s="18" t="s">
        <v>26</v>
      </c>
      <c r="AJ21" s="23">
        <f>IF(AN21=0,L21,0)</f>
        <v>0</v>
      </c>
      <c r="AK21" s="23">
        <f>IF(AN21=12,L21,0)</f>
        <v>0</v>
      </c>
      <c r="AL21" s="23">
        <f>IF(AN21=21,L21,0)</f>
        <v>0</v>
      </c>
      <c r="AN21" s="23">
        <v>21</v>
      </c>
      <c r="AO21" s="23">
        <f>H21*0.255215947</f>
        <v>0</v>
      </c>
      <c r="AP21" s="23">
        <f>H21*(1-0.255215947)</f>
        <v>0</v>
      </c>
      <c r="AQ21" s="79" t="s">
        <v>72</v>
      </c>
      <c r="AV21" s="23">
        <f>ROUND(AW21+AX21,2)</f>
        <v>0</v>
      </c>
      <c r="AW21" s="23">
        <f>ROUND(G21*AO21,2)</f>
        <v>0</v>
      </c>
      <c r="AX21" s="23">
        <f>ROUND(G21*AP21,2)</f>
        <v>0</v>
      </c>
      <c r="AY21" s="79" t="s">
        <v>215</v>
      </c>
      <c r="AZ21" s="79" t="s">
        <v>213</v>
      </c>
      <c r="BA21" s="18" t="s">
        <v>208</v>
      </c>
      <c r="BC21" s="23">
        <f>AW21+AX21</f>
        <v>0</v>
      </c>
      <c r="BD21" s="23">
        <f>H21/(100-BE21)*100</f>
        <v>0</v>
      </c>
      <c r="BE21" s="23">
        <v>0</v>
      </c>
      <c r="BF21" s="23">
        <f>O21</f>
        <v>1.7500000000000002E-2</v>
      </c>
      <c r="BH21" s="23">
        <f>G21*AO21</f>
        <v>0</v>
      </c>
      <c r="BI21" s="23">
        <f>G21*AP21</f>
        <v>0</v>
      </c>
      <c r="BJ21" s="23">
        <f>G21*H21</f>
        <v>0</v>
      </c>
      <c r="BK21" s="79" t="s">
        <v>35</v>
      </c>
      <c r="BL21" s="23">
        <v>28</v>
      </c>
      <c r="BW21" s="23">
        <f>I21</f>
        <v>21</v>
      </c>
      <c r="BX21" s="5" t="s">
        <v>46</v>
      </c>
    </row>
    <row r="22" spans="1:76" ht="13.5" customHeight="1" x14ac:dyDescent="0.25">
      <c r="A22" s="80"/>
      <c r="C22" s="25" t="s">
        <v>36</v>
      </c>
      <c r="D22" s="107" t="s">
        <v>48</v>
      </c>
      <c r="E22" s="108"/>
      <c r="F22" s="108"/>
      <c r="G22" s="108"/>
      <c r="H22" s="108"/>
      <c r="I22" s="108"/>
      <c r="J22" s="108"/>
      <c r="K22" s="108"/>
      <c r="L22" s="108"/>
      <c r="M22" s="108"/>
      <c r="N22" s="108"/>
      <c r="O22" s="108"/>
      <c r="P22" s="109"/>
    </row>
    <row r="23" spans="1:76" x14ac:dyDescent="0.25">
      <c r="A23" s="75" t="s">
        <v>27</v>
      </c>
      <c r="B23" s="17" t="s">
        <v>26</v>
      </c>
      <c r="C23" s="17" t="s">
        <v>49</v>
      </c>
      <c r="D23" s="103" t="s">
        <v>50</v>
      </c>
      <c r="E23" s="104"/>
      <c r="F23" s="76" t="s">
        <v>25</v>
      </c>
      <c r="G23" s="76" t="s">
        <v>25</v>
      </c>
      <c r="H23" s="76" t="s">
        <v>25</v>
      </c>
      <c r="I23" s="76" t="s">
        <v>25</v>
      </c>
      <c r="J23" s="19">
        <f>SUM(J24:J24)</f>
        <v>0</v>
      </c>
      <c r="K23" s="19">
        <f>SUM(K24:K24)</f>
        <v>0</v>
      </c>
      <c r="L23" s="19">
        <f>SUM(L24:L24)</f>
        <v>0</v>
      </c>
      <c r="M23" s="19">
        <f>SUM(M24:M24)</f>
        <v>0</v>
      </c>
      <c r="N23" s="18" t="s">
        <v>27</v>
      </c>
      <c r="O23" s="19">
        <f>SUM(O24:O24)</f>
        <v>0.64032</v>
      </c>
      <c r="P23" s="77" t="s">
        <v>27</v>
      </c>
      <c r="AI23" s="18" t="s">
        <v>26</v>
      </c>
      <c r="AS23" s="19">
        <f>SUM(AJ24:AJ24)</f>
        <v>0</v>
      </c>
      <c r="AT23" s="19">
        <f>SUM(AK24:AK24)</f>
        <v>0</v>
      </c>
      <c r="AU23" s="19">
        <f>SUM(AL24:AL24)</f>
        <v>0</v>
      </c>
    </row>
    <row r="24" spans="1:76" x14ac:dyDescent="0.25">
      <c r="A24" s="1" t="s">
        <v>216</v>
      </c>
      <c r="B24" s="2" t="s">
        <v>26</v>
      </c>
      <c r="C24" s="2" t="s">
        <v>51</v>
      </c>
      <c r="D24" s="96" t="s">
        <v>52</v>
      </c>
      <c r="E24" s="90"/>
      <c r="F24" s="2" t="s">
        <v>47</v>
      </c>
      <c r="G24" s="23">
        <f>'Rozpočet - vybrané sloupce'!H22</f>
        <v>3.48</v>
      </c>
      <c r="H24" s="23">
        <f>'Rozpočet - vybrané sloupce'!I22</f>
        <v>0</v>
      </c>
      <c r="I24" s="22">
        <v>21</v>
      </c>
      <c r="J24" s="23">
        <f>ROUND(G24*AO24,2)</f>
        <v>0</v>
      </c>
      <c r="K24" s="23">
        <f>ROUND(G24*AP24,2)</f>
        <v>0</v>
      </c>
      <c r="L24" s="23">
        <f>ROUND(G24*H24,2)</f>
        <v>0</v>
      </c>
      <c r="M24" s="23">
        <f>L24*(1+BW24/100)</f>
        <v>0</v>
      </c>
      <c r="N24" s="23">
        <v>0.184</v>
      </c>
      <c r="O24" s="23">
        <f>G24*N24</f>
        <v>0.64032</v>
      </c>
      <c r="P24" s="78" t="s">
        <v>34</v>
      </c>
      <c r="Z24" s="23">
        <f>ROUND(IF(AQ24="5",BJ24,0),2)</f>
        <v>0</v>
      </c>
      <c r="AB24" s="23">
        <f>ROUND(IF(AQ24="1",BH24,0),2)</f>
        <v>0</v>
      </c>
      <c r="AC24" s="23">
        <f>ROUND(IF(AQ24="1",BI24,0),2)</f>
        <v>0</v>
      </c>
      <c r="AD24" s="23">
        <f>ROUND(IF(AQ24="7",BH24,0),2)</f>
        <v>0</v>
      </c>
      <c r="AE24" s="23">
        <f>ROUND(IF(AQ24="7",BI24,0),2)</f>
        <v>0</v>
      </c>
      <c r="AF24" s="23">
        <f>ROUND(IF(AQ24="2",BH24,0),2)</f>
        <v>0</v>
      </c>
      <c r="AG24" s="23">
        <f>ROUND(IF(AQ24="2",BI24,0),2)</f>
        <v>0</v>
      </c>
      <c r="AH24" s="23">
        <f>ROUND(IF(AQ24="0",BJ24,0),2)</f>
        <v>0</v>
      </c>
      <c r="AI24" s="18" t="s">
        <v>26</v>
      </c>
      <c r="AJ24" s="23">
        <f>IF(AN24=0,L24,0)</f>
        <v>0</v>
      </c>
      <c r="AK24" s="23">
        <f>IF(AN24=12,L24,0)</f>
        <v>0</v>
      </c>
      <c r="AL24" s="23">
        <f>IF(AN24=21,L24,0)</f>
        <v>0</v>
      </c>
      <c r="AN24" s="23">
        <v>21</v>
      </c>
      <c r="AO24" s="23">
        <f>H24*0.721362785</f>
        <v>0</v>
      </c>
      <c r="AP24" s="23">
        <f>H24*(1-0.721362785)</f>
        <v>0</v>
      </c>
      <c r="AQ24" s="79" t="s">
        <v>72</v>
      </c>
      <c r="AV24" s="23">
        <f>ROUND(AW24+AX24,2)</f>
        <v>0</v>
      </c>
      <c r="AW24" s="23">
        <f>ROUND(G24*AO24,2)</f>
        <v>0</v>
      </c>
      <c r="AX24" s="23">
        <f>ROUND(G24*AP24,2)</f>
        <v>0</v>
      </c>
      <c r="AY24" s="79" t="s">
        <v>217</v>
      </c>
      <c r="AZ24" s="79" t="s">
        <v>218</v>
      </c>
      <c r="BA24" s="18" t="s">
        <v>208</v>
      </c>
      <c r="BC24" s="23">
        <f>AW24+AX24</f>
        <v>0</v>
      </c>
      <c r="BD24" s="23">
        <f>H24/(100-BE24)*100</f>
        <v>0</v>
      </c>
      <c r="BE24" s="23">
        <v>0</v>
      </c>
      <c r="BF24" s="23">
        <f>O24</f>
        <v>0.64032</v>
      </c>
      <c r="BH24" s="23">
        <f>G24*AO24</f>
        <v>0</v>
      </c>
      <c r="BI24" s="23">
        <f>G24*AP24</f>
        <v>0</v>
      </c>
      <c r="BJ24" s="23">
        <f>G24*H24</f>
        <v>0</v>
      </c>
      <c r="BK24" s="79" t="s">
        <v>35</v>
      </c>
      <c r="BL24" s="23">
        <v>56</v>
      </c>
      <c r="BW24" s="23">
        <f>I24</f>
        <v>21</v>
      </c>
      <c r="BX24" s="5" t="s">
        <v>52</v>
      </c>
    </row>
    <row r="25" spans="1:76" ht="13.5" customHeight="1" x14ac:dyDescent="0.25">
      <c r="A25" s="80"/>
      <c r="C25" s="25" t="s">
        <v>36</v>
      </c>
      <c r="D25" s="107" t="s">
        <v>53</v>
      </c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08"/>
      <c r="P25" s="109"/>
    </row>
    <row r="26" spans="1:76" x14ac:dyDescent="0.25">
      <c r="A26" s="75" t="s">
        <v>27</v>
      </c>
      <c r="B26" s="17" t="s">
        <v>26</v>
      </c>
      <c r="C26" s="17" t="s">
        <v>54</v>
      </c>
      <c r="D26" s="103" t="s">
        <v>55</v>
      </c>
      <c r="E26" s="104"/>
      <c r="F26" s="76" t="s">
        <v>25</v>
      </c>
      <c r="G26" s="76" t="s">
        <v>25</v>
      </c>
      <c r="H26" s="76" t="s">
        <v>25</v>
      </c>
      <c r="I26" s="76" t="s">
        <v>25</v>
      </c>
      <c r="J26" s="19">
        <f>SUM(J27:J27)</f>
        <v>0</v>
      </c>
      <c r="K26" s="19">
        <f>SUM(K27:K27)</f>
        <v>0</v>
      </c>
      <c r="L26" s="19">
        <f>SUM(L27:L27)</f>
        <v>0</v>
      </c>
      <c r="M26" s="19">
        <f>SUM(M27:M27)</f>
        <v>0</v>
      </c>
      <c r="N26" s="18" t="s">
        <v>27</v>
      </c>
      <c r="O26" s="19">
        <f>SUM(O27:O27)</f>
        <v>2.3051549999999996</v>
      </c>
      <c r="P26" s="77" t="s">
        <v>27</v>
      </c>
      <c r="AI26" s="18" t="s">
        <v>26</v>
      </c>
      <c r="AS26" s="19">
        <f>SUM(AJ27:AJ27)</f>
        <v>0</v>
      </c>
      <c r="AT26" s="19">
        <f>SUM(AK27:AK27)</f>
        <v>0</v>
      </c>
      <c r="AU26" s="19">
        <f>SUM(AL27:AL27)</f>
        <v>0</v>
      </c>
    </row>
    <row r="27" spans="1:76" ht="25.5" x14ac:dyDescent="0.25">
      <c r="A27" s="1" t="s">
        <v>219</v>
      </c>
      <c r="B27" s="2" t="s">
        <v>26</v>
      </c>
      <c r="C27" s="2" t="s">
        <v>56</v>
      </c>
      <c r="D27" s="96" t="s">
        <v>57</v>
      </c>
      <c r="E27" s="90"/>
      <c r="F27" s="2" t="s">
        <v>58</v>
      </c>
      <c r="G27" s="23">
        <f>'Rozpočet - vybrané sloupce'!H25</f>
        <v>11.95</v>
      </c>
      <c r="H27" s="23">
        <f>'Rozpočet - vybrané sloupce'!I25</f>
        <v>0</v>
      </c>
      <c r="I27" s="22">
        <v>21</v>
      </c>
      <c r="J27" s="23">
        <f>ROUND(G27*AO27,2)</f>
        <v>0</v>
      </c>
      <c r="K27" s="23">
        <f>ROUND(G27*AP27,2)</f>
        <v>0</v>
      </c>
      <c r="L27" s="23">
        <f>ROUND(G27*H27,2)</f>
        <v>0</v>
      </c>
      <c r="M27" s="23">
        <f>L27*(1+BW27/100)</f>
        <v>0</v>
      </c>
      <c r="N27" s="23">
        <v>0.19289999999999999</v>
      </c>
      <c r="O27" s="23">
        <f>G27*N27</f>
        <v>2.3051549999999996</v>
      </c>
      <c r="P27" s="78" t="s">
        <v>34</v>
      </c>
      <c r="Z27" s="23">
        <f>ROUND(IF(AQ27="5",BJ27,0),2)</f>
        <v>0</v>
      </c>
      <c r="AB27" s="23">
        <f>ROUND(IF(AQ27="1",BH27,0),2)</f>
        <v>0</v>
      </c>
      <c r="AC27" s="23">
        <f>ROUND(IF(AQ27="1",BI27,0),2)</f>
        <v>0</v>
      </c>
      <c r="AD27" s="23">
        <f>ROUND(IF(AQ27="7",BH27,0),2)</f>
        <v>0</v>
      </c>
      <c r="AE27" s="23">
        <f>ROUND(IF(AQ27="7",BI27,0),2)</f>
        <v>0</v>
      </c>
      <c r="AF27" s="23">
        <f>ROUND(IF(AQ27="2",BH27,0),2)</f>
        <v>0</v>
      </c>
      <c r="AG27" s="23">
        <f>ROUND(IF(AQ27="2",BI27,0),2)</f>
        <v>0</v>
      </c>
      <c r="AH27" s="23">
        <f>ROUND(IF(AQ27="0",BJ27,0),2)</f>
        <v>0</v>
      </c>
      <c r="AI27" s="18" t="s">
        <v>26</v>
      </c>
      <c r="AJ27" s="23">
        <f>IF(AN27=0,L27,0)</f>
        <v>0</v>
      </c>
      <c r="AK27" s="23">
        <f>IF(AN27=12,L27,0)</f>
        <v>0</v>
      </c>
      <c r="AL27" s="23">
        <f>IF(AN27=21,L27,0)</f>
        <v>0</v>
      </c>
      <c r="AN27" s="23">
        <v>21</v>
      </c>
      <c r="AO27" s="23">
        <f>H27*0.779791721</f>
        <v>0</v>
      </c>
      <c r="AP27" s="23">
        <f>H27*(1-0.779791721)</f>
        <v>0</v>
      </c>
      <c r="AQ27" s="79" t="s">
        <v>72</v>
      </c>
      <c r="AV27" s="23">
        <f>ROUND(AW27+AX27,2)</f>
        <v>0</v>
      </c>
      <c r="AW27" s="23">
        <f>ROUND(G27*AO27,2)</f>
        <v>0</v>
      </c>
      <c r="AX27" s="23">
        <f>ROUND(G27*AP27,2)</f>
        <v>0</v>
      </c>
      <c r="AY27" s="79" t="s">
        <v>220</v>
      </c>
      <c r="AZ27" s="79" t="s">
        <v>221</v>
      </c>
      <c r="BA27" s="18" t="s">
        <v>208</v>
      </c>
      <c r="BC27" s="23">
        <f>AW27+AX27</f>
        <v>0</v>
      </c>
      <c r="BD27" s="23">
        <f>H27/(100-BE27)*100</f>
        <v>0</v>
      </c>
      <c r="BE27" s="23">
        <v>0</v>
      </c>
      <c r="BF27" s="23">
        <f>O27</f>
        <v>2.3051549999999996</v>
      </c>
      <c r="BH27" s="23">
        <f>G27*AO27</f>
        <v>0</v>
      </c>
      <c r="BI27" s="23">
        <f>G27*AP27</f>
        <v>0</v>
      </c>
      <c r="BJ27" s="23">
        <f>G27*H27</f>
        <v>0</v>
      </c>
      <c r="BK27" s="79" t="s">
        <v>35</v>
      </c>
      <c r="BL27" s="23">
        <v>91</v>
      </c>
      <c r="BW27" s="23">
        <f>I27</f>
        <v>21</v>
      </c>
      <c r="BX27" s="5" t="s">
        <v>57</v>
      </c>
    </row>
    <row r="28" spans="1:76" ht="25.5" x14ac:dyDescent="0.25">
      <c r="A28" s="80"/>
      <c r="C28" s="25" t="s">
        <v>60</v>
      </c>
      <c r="D28" s="107" t="s">
        <v>61</v>
      </c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9"/>
      <c r="BX28" s="26" t="s">
        <v>61</v>
      </c>
    </row>
    <row r="29" spans="1:76" ht="13.5" customHeight="1" x14ac:dyDescent="0.25">
      <c r="A29" s="80"/>
      <c r="C29" s="25" t="s">
        <v>36</v>
      </c>
      <c r="D29" s="107" t="s">
        <v>59</v>
      </c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8"/>
      <c r="P29" s="109"/>
    </row>
    <row r="30" spans="1:76" x14ac:dyDescent="0.25">
      <c r="A30" s="75" t="s">
        <v>27</v>
      </c>
      <c r="B30" s="17" t="s">
        <v>26</v>
      </c>
      <c r="C30" s="17" t="s">
        <v>62</v>
      </c>
      <c r="D30" s="103" t="s">
        <v>63</v>
      </c>
      <c r="E30" s="104"/>
      <c r="F30" s="76" t="s">
        <v>25</v>
      </c>
      <c r="G30" s="76" t="s">
        <v>25</v>
      </c>
      <c r="H30" s="76" t="s">
        <v>25</v>
      </c>
      <c r="I30" s="76" t="s">
        <v>25</v>
      </c>
      <c r="J30" s="19">
        <f>SUM(J31:J31)</f>
        <v>0</v>
      </c>
      <c r="K30" s="19">
        <f>SUM(K31:K31)</f>
        <v>0</v>
      </c>
      <c r="L30" s="19">
        <f>SUM(L31:L31)</f>
        <v>0</v>
      </c>
      <c r="M30" s="19">
        <f>SUM(M31:M31)</f>
        <v>0</v>
      </c>
      <c r="N30" s="18" t="s">
        <v>27</v>
      </c>
      <c r="O30" s="19">
        <f>SUM(O31:O31)</f>
        <v>22.444799999999997</v>
      </c>
      <c r="P30" s="77" t="s">
        <v>27</v>
      </c>
      <c r="AI30" s="18" t="s">
        <v>26</v>
      </c>
      <c r="AS30" s="19">
        <f>SUM(AJ31:AJ31)</f>
        <v>0</v>
      </c>
      <c r="AT30" s="19">
        <f>SUM(AK31:AK31)</f>
        <v>0</v>
      </c>
      <c r="AU30" s="19">
        <f>SUM(AL31:AL31)</f>
        <v>0</v>
      </c>
    </row>
    <row r="31" spans="1:76" x14ac:dyDescent="0.25">
      <c r="A31" s="1" t="s">
        <v>222</v>
      </c>
      <c r="B31" s="2" t="s">
        <v>26</v>
      </c>
      <c r="C31" s="2" t="s">
        <v>64</v>
      </c>
      <c r="D31" s="96" t="s">
        <v>65</v>
      </c>
      <c r="E31" s="90"/>
      <c r="F31" s="2" t="s">
        <v>33</v>
      </c>
      <c r="G31" s="23">
        <f>'Rozpočet - vybrané sloupce'!H29</f>
        <v>13.44</v>
      </c>
      <c r="H31" s="23">
        <f>'Rozpočet - vybrané sloupce'!I29</f>
        <v>0</v>
      </c>
      <c r="I31" s="22">
        <v>21</v>
      </c>
      <c r="J31" s="23">
        <f>ROUND(G31*AO31,2)</f>
        <v>0</v>
      </c>
      <c r="K31" s="23">
        <f>ROUND(G31*AP31,2)</f>
        <v>0</v>
      </c>
      <c r="L31" s="23">
        <f>ROUND(G31*H31,2)</f>
        <v>0</v>
      </c>
      <c r="M31" s="23">
        <f>L31*(1+BW31/100)</f>
        <v>0</v>
      </c>
      <c r="N31" s="23">
        <v>1.67</v>
      </c>
      <c r="O31" s="23">
        <f>G31*N31</f>
        <v>22.444799999999997</v>
      </c>
      <c r="P31" s="78" t="s">
        <v>34</v>
      </c>
      <c r="Z31" s="23">
        <f>ROUND(IF(AQ31="5",BJ31,0),2)</f>
        <v>0</v>
      </c>
      <c r="AB31" s="23">
        <f>ROUND(IF(AQ31="1",BH31,0),2)</f>
        <v>0</v>
      </c>
      <c r="AC31" s="23">
        <f>ROUND(IF(AQ31="1",BI31,0),2)</f>
        <v>0</v>
      </c>
      <c r="AD31" s="23">
        <f>ROUND(IF(AQ31="7",BH31,0),2)</f>
        <v>0</v>
      </c>
      <c r="AE31" s="23">
        <f>ROUND(IF(AQ31="7",BI31,0),2)</f>
        <v>0</v>
      </c>
      <c r="AF31" s="23">
        <f>ROUND(IF(AQ31="2",BH31,0),2)</f>
        <v>0</v>
      </c>
      <c r="AG31" s="23">
        <f>ROUND(IF(AQ31="2",BI31,0),2)</f>
        <v>0</v>
      </c>
      <c r="AH31" s="23">
        <f>ROUND(IF(AQ31="0",BJ31,0),2)</f>
        <v>0</v>
      </c>
      <c r="AI31" s="18" t="s">
        <v>26</v>
      </c>
      <c r="AJ31" s="23">
        <f>IF(AN31=0,L31,0)</f>
        <v>0</v>
      </c>
      <c r="AK31" s="23">
        <f>IF(AN31=12,L31,0)</f>
        <v>0</v>
      </c>
      <c r="AL31" s="23">
        <f>IF(AN31=21,L31,0)</f>
        <v>0</v>
      </c>
      <c r="AN31" s="23">
        <v>21</v>
      </c>
      <c r="AO31" s="23">
        <f>H31*0.185166935</f>
        <v>0</v>
      </c>
      <c r="AP31" s="23">
        <f>H31*(1-0.185166935)</f>
        <v>0</v>
      </c>
      <c r="AQ31" s="79" t="s">
        <v>72</v>
      </c>
      <c r="AV31" s="23">
        <f>ROUND(AW31+AX31,2)</f>
        <v>0</v>
      </c>
      <c r="AW31" s="23">
        <f>ROUND(G31*AO31,2)</f>
        <v>0</v>
      </c>
      <c r="AX31" s="23">
        <f>ROUND(G31*AP31,2)</f>
        <v>0</v>
      </c>
      <c r="AY31" s="79" t="s">
        <v>223</v>
      </c>
      <c r="AZ31" s="79" t="s">
        <v>221</v>
      </c>
      <c r="BA31" s="18" t="s">
        <v>208</v>
      </c>
      <c r="BC31" s="23">
        <f>AW31+AX31</f>
        <v>0</v>
      </c>
      <c r="BD31" s="23">
        <f>H31/(100-BE31)*100</f>
        <v>0</v>
      </c>
      <c r="BE31" s="23">
        <v>0</v>
      </c>
      <c r="BF31" s="23">
        <f>O31</f>
        <v>22.444799999999997</v>
      </c>
      <c r="BH31" s="23">
        <f>G31*AO31</f>
        <v>0</v>
      </c>
      <c r="BI31" s="23">
        <f>G31*AP31</f>
        <v>0</v>
      </c>
      <c r="BJ31" s="23">
        <f>G31*H31</f>
        <v>0</v>
      </c>
      <c r="BK31" s="79" t="s">
        <v>35</v>
      </c>
      <c r="BL31" s="23">
        <v>93</v>
      </c>
      <c r="BW31" s="23">
        <f>I31</f>
        <v>21</v>
      </c>
      <c r="BX31" s="5" t="s">
        <v>65</v>
      </c>
    </row>
    <row r="32" spans="1:76" ht="13.5" customHeight="1" x14ac:dyDescent="0.25">
      <c r="A32" s="80"/>
      <c r="C32" s="25" t="s">
        <v>36</v>
      </c>
      <c r="D32" s="107" t="s">
        <v>66</v>
      </c>
      <c r="E32" s="108"/>
      <c r="F32" s="108"/>
      <c r="G32" s="108"/>
      <c r="H32" s="108"/>
      <c r="I32" s="108"/>
      <c r="J32" s="108"/>
      <c r="K32" s="108"/>
      <c r="L32" s="108"/>
      <c r="M32" s="108"/>
      <c r="N32" s="108"/>
      <c r="O32" s="108"/>
      <c r="P32" s="109"/>
    </row>
    <row r="33" spans="1:76" x14ac:dyDescent="0.25">
      <c r="A33" s="75" t="s">
        <v>27</v>
      </c>
      <c r="B33" s="17" t="s">
        <v>26</v>
      </c>
      <c r="C33" s="17" t="s">
        <v>67</v>
      </c>
      <c r="D33" s="103" t="s">
        <v>68</v>
      </c>
      <c r="E33" s="104"/>
      <c r="F33" s="76" t="s">
        <v>25</v>
      </c>
      <c r="G33" s="76" t="s">
        <v>25</v>
      </c>
      <c r="H33" s="76" t="s">
        <v>25</v>
      </c>
      <c r="I33" s="76" t="s">
        <v>25</v>
      </c>
      <c r="J33" s="19">
        <f>SUM(J34:J34)</f>
        <v>0</v>
      </c>
      <c r="K33" s="19">
        <f>SUM(K34:K34)</f>
        <v>0</v>
      </c>
      <c r="L33" s="19">
        <f>SUM(L34:L34)</f>
        <v>0</v>
      </c>
      <c r="M33" s="19">
        <f>SUM(M34:M34)</f>
        <v>0</v>
      </c>
      <c r="N33" s="18" t="s">
        <v>27</v>
      </c>
      <c r="O33" s="19">
        <f>SUM(O34:O34)</f>
        <v>0</v>
      </c>
      <c r="P33" s="77" t="s">
        <v>27</v>
      </c>
      <c r="AI33" s="18" t="s">
        <v>26</v>
      </c>
      <c r="AS33" s="19">
        <f>SUM(AJ34:AJ34)</f>
        <v>0</v>
      </c>
      <c r="AT33" s="19">
        <f>SUM(AK34:AK34)</f>
        <v>0</v>
      </c>
      <c r="AU33" s="19">
        <f>SUM(AL34:AL34)</f>
        <v>0</v>
      </c>
    </row>
    <row r="34" spans="1:76" x14ac:dyDescent="0.25">
      <c r="A34" s="1" t="s">
        <v>224</v>
      </c>
      <c r="B34" s="2" t="s">
        <v>26</v>
      </c>
      <c r="C34" s="2" t="s">
        <v>69</v>
      </c>
      <c r="D34" s="96" t="s">
        <v>70</v>
      </c>
      <c r="E34" s="90"/>
      <c r="F34" s="2" t="s">
        <v>71</v>
      </c>
      <c r="G34" s="23">
        <f>'Rozpočet - vybrané sloupce'!H32</f>
        <v>1</v>
      </c>
      <c r="H34" s="23">
        <f>'Rozpočet - vybrané sloupce'!I32</f>
        <v>0</v>
      </c>
      <c r="I34" s="22">
        <v>21</v>
      </c>
      <c r="J34" s="23">
        <f>ROUND(G34*AO34,2)</f>
        <v>0</v>
      </c>
      <c r="K34" s="23">
        <f>ROUND(G34*AP34,2)</f>
        <v>0</v>
      </c>
      <c r="L34" s="23">
        <f>ROUND(G34*H34,2)</f>
        <v>0</v>
      </c>
      <c r="M34" s="23">
        <f>L34*(1+BW34/100)</f>
        <v>0</v>
      </c>
      <c r="N34" s="23">
        <v>0</v>
      </c>
      <c r="O34" s="23">
        <f>G34*N34</f>
        <v>0</v>
      </c>
      <c r="P34" s="78" t="s">
        <v>27</v>
      </c>
      <c r="Z34" s="23">
        <f>ROUND(IF(AQ34="5",BJ34,0),2)</f>
        <v>0</v>
      </c>
      <c r="AB34" s="23">
        <f>ROUND(IF(AQ34="1",BH34,0),2)</f>
        <v>0</v>
      </c>
      <c r="AC34" s="23">
        <f>ROUND(IF(AQ34="1",BI34,0),2)</f>
        <v>0</v>
      </c>
      <c r="AD34" s="23">
        <f>ROUND(IF(AQ34="7",BH34,0),2)</f>
        <v>0</v>
      </c>
      <c r="AE34" s="23">
        <f>ROUND(IF(AQ34="7",BI34,0),2)</f>
        <v>0</v>
      </c>
      <c r="AF34" s="23">
        <f>ROUND(IF(AQ34="2",BH34,0),2)</f>
        <v>0</v>
      </c>
      <c r="AG34" s="23">
        <f>ROUND(IF(AQ34="2",BI34,0),2)</f>
        <v>0</v>
      </c>
      <c r="AH34" s="23">
        <f>ROUND(IF(AQ34="0",BJ34,0),2)</f>
        <v>0</v>
      </c>
      <c r="AI34" s="18" t="s">
        <v>26</v>
      </c>
      <c r="AJ34" s="23">
        <f>IF(AN34=0,L34,0)</f>
        <v>0</v>
      </c>
      <c r="AK34" s="23">
        <f>IF(AN34=12,L34,0)</f>
        <v>0</v>
      </c>
      <c r="AL34" s="23">
        <f>IF(AN34=21,L34,0)</f>
        <v>0</v>
      </c>
      <c r="AN34" s="23">
        <v>21</v>
      </c>
      <c r="AO34" s="23">
        <f>H34*0</f>
        <v>0</v>
      </c>
      <c r="AP34" s="23">
        <f>H34*(1-0)</f>
        <v>0</v>
      </c>
      <c r="AQ34" s="79" t="s">
        <v>219</v>
      </c>
      <c r="AV34" s="23">
        <f>ROUND(AW34+AX34,2)</f>
        <v>0</v>
      </c>
      <c r="AW34" s="23">
        <f>ROUND(G34*AO34,2)</f>
        <v>0</v>
      </c>
      <c r="AX34" s="23">
        <f>ROUND(G34*AP34,2)</f>
        <v>0</v>
      </c>
      <c r="AY34" s="79" t="s">
        <v>225</v>
      </c>
      <c r="AZ34" s="79" t="s">
        <v>221</v>
      </c>
      <c r="BA34" s="18" t="s">
        <v>208</v>
      </c>
      <c r="BC34" s="23">
        <f>AW34+AX34</f>
        <v>0</v>
      </c>
      <c r="BD34" s="23">
        <f>H34/(100-BE34)*100</f>
        <v>0</v>
      </c>
      <c r="BE34" s="23">
        <v>0</v>
      </c>
      <c r="BF34" s="23">
        <f>O34</f>
        <v>0</v>
      </c>
      <c r="BH34" s="23">
        <f>G34*AO34</f>
        <v>0</v>
      </c>
      <c r="BI34" s="23">
        <f>G34*AP34</f>
        <v>0</v>
      </c>
      <c r="BJ34" s="23">
        <f>G34*H34</f>
        <v>0</v>
      </c>
      <c r="BK34" s="79" t="s">
        <v>35</v>
      </c>
      <c r="BL34" s="23"/>
      <c r="BW34" s="23">
        <f>I34</f>
        <v>21</v>
      </c>
      <c r="BX34" s="5" t="s">
        <v>70</v>
      </c>
    </row>
    <row r="35" spans="1:76" ht="13.5" customHeight="1" x14ac:dyDescent="0.25">
      <c r="A35" s="80"/>
      <c r="C35" s="25" t="s">
        <v>209</v>
      </c>
      <c r="D35" s="107" t="s">
        <v>72</v>
      </c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9"/>
    </row>
    <row r="36" spans="1:76" ht="13.5" customHeight="1" x14ac:dyDescent="0.25">
      <c r="A36" s="80"/>
      <c r="C36" s="25" t="s">
        <v>36</v>
      </c>
      <c r="D36" s="107" t="s">
        <v>72</v>
      </c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9"/>
    </row>
    <row r="37" spans="1:76" x14ac:dyDescent="0.25">
      <c r="A37" s="75" t="s">
        <v>27</v>
      </c>
      <c r="B37" s="17" t="s">
        <v>26</v>
      </c>
      <c r="C37" s="17" t="s">
        <v>73</v>
      </c>
      <c r="D37" s="103" t="s">
        <v>74</v>
      </c>
      <c r="E37" s="104"/>
      <c r="F37" s="76" t="s">
        <v>25</v>
      </c>
      <c r="G37" s="76" t="s">
        <v>25</v>
      </c>
      <c r="H37" s="76" t="s">
        <v>25</v>
      </c>
      <c r="I37" s="76" t="s">
        <v>25</v>
      </c>
      <c r="J37" s="19">
        <f>SUM(J38:J38)</f>
        <v>0</v>
      </c>
      <c r="K37" s="19">
        <f>SUM(K38:K38)</f>
        <v>0</v>
      </c>
      <c r="L37" s="19">
        <f>SUM(L38:L38)</f>
        <v>0</v>
      </c>
      <c r="M37" s="19">
        <f>SUM(M38:M38)</f>
        <v>0</v>
      </c>
      <c r="N37" s="18" t="s">
        <v>27</v>
      </c>
      <c r="O37" s="19">
        <f>SUM(O38:O38)</f>
        <v>0</v>
      </c>
      <c r="P37" s="77" t="s">
        <v>27</v>
      </c>
      <c r="AI37" s="18" t="s">
        <v>26</v>
      </c>
      <c r="AS37" s="19">
        <f>SUM(AJ38:AJ38)</f>
        <v>0</v>
      </c>
      <c r="AT37" s="19">
        <f>SUM(AK38:AK38)</f>
        <v>0</v>
      </c>
      <c r="AU37" s="19">
        <f>SUM(AL38:AL38)</f>
        <v>0</v>
      </c>
    </row>
    <row r="38" spans="1:76" x14ac:dyDescent="0.25">
      <c r="A38" s="1" t="s">
        <v>226</v>
      </c>
      <c r="B38" s="2" t="s">
        <v>26</v>
      </c>
      <c r="C38" s="2" t="s">
        <v>75</v>
      </c>
      <c r="D38" s="96" t="s">
        <v>76</v>
      </c>
      <c r="E38" s="90"/>
      <c r="F38" s="2" t="s">
        <v>33</v>
      </c>
      <c r="G38" s="23">
        <f>'Rozpočet - vybrané sloupce'!H35</f>
        <v>17.535</v>
      </c>
      <c r="H38" s="23">
        <f>'Rozpočet - vybrané sloupce'!I35</f>
        <v>0</v>
      </c>
      <c r="I38" s="22">
        <v>21</v>
      </c>
      <c r="J38" s="23">
        <f>ROUND(G38*AO38,2)</f>
        <v>0</v>
      </c>
      <c r="K38" s="23">
        <f>ROUND(G38*AP38,2)</f>
        <v>0</v>
      </c>
      <c r="L38" s="23">
        <f>ROUND(G38*H38,2)</f>
        <v>0</v>
      </c>
      <c r="M38" s="23">
        <f>L38*(1+BW38/100)</f>
        <v>0</v>
      </c>
      <c r="N38" s="23">
        <v>0</v>
      </c>
      <c r="O38" s="23">
        <f>G38*N38</f>
        <v>0</v>
      </c>
      <c r="P38" s="78" t="s">
        <v>34</v>
      </c>
      <c r="Z38" s="23">
        <f>ROUND(IF(AQ38="5",BJ38,0),2)</f>
        <v>0</v>
      </c>
      <c r="AB38" s="23">
        <f>ROUND(IF(AQ38="1",BH38,0),2)</f>
        <v>0</v>
      </c>
      <c r="AC38" s="23">
        <f>ROUND(IF(AQ38="1",BI38,0),2)</f>
        <v>0</v>
      </c>
      <c r="AD38" s="23">
        <f>ROUND(IF(AQ38="7",BH38,0),2)</f>
        <v>0</v>
      </c>
      <c r="AE38" s="23">
        <f>ROUND(IF(AQ38="7",BI38,0),2)</f>
        <v>0</v>
      </c>
      <c r="AF38" s="23">
        <f>ROUND(IF(AQ38="2",BH38,0),2)</f>
        <v>0</v>
      </c>
      <c r="AG38" s="23">
        <f>ROUND(IF(AQ38="2",BI38,0),2)</f>
        <v>0</v>
      </c>
      <c r="AH38" s="23">
        <f>ROUND(IF(AQ38="0",BJ38,0),2)</f>
        <v>0</v>
      </c>
      <c r="AI38" s="18" t="s">
        <v>26</v>
      </c>
      <c r="AJ38" s="23">
        <f>IF(AN38=0,L38,0)</f>
        <v>0</v>
      </c>
      <c r="AK38" s="23">
        <f>IF(AN38=12,L38,0)</f>
        <v>0</v>
      </c>
      <c r="AL38" s="23">
        <f>IF(AN38=21,L38,0)</f>
        <v>0</v>
      </c>
      <c r="AN38" s="23">
        <v>21</v>
      </c>
      <c r="AO38" s="23">
        <f>H38*0</f>
        <v>0</v>
      </c>
      <c r="AP38" s="23">
        <f>H38*(1-0)</f>
        <v>0</v>
      </c>
      <c r="AQ38" s="79" t="s">
        <v>211</v>
      </c>
      <c r="AV38" s="23">
        <f>ROUND(AW38+AX38,2)</f>
        <v>0</v>
      </c>
      <c r="AW38" s="23">
        <f>ROUND(G38*AO38,2)</f>
        <v>0</v>
      </c>
      <c r="AX38" s="23">
        <f>ROUND(G38*AP38,2)</f>
        <v>0</v>
      </c>
      <c r="AY38" s="79" t="s">
        <v>227</v>
      </c>
      <c r="AZ38" s="79" t="s">
        <v>221</v>
      </c>
      <c r="BA38" s="18" t="s">
        <v>208</v>
      </c>
      <c r="BC38" s="23">
        <f>AW38+AX38</f>
        <v>0</v>
      </c>
      <c r="BD38" s="23">
        <f>H38/(100-BE38)*100</f>
        <v>0</v>
      </c>
      <c r="BE38" s="23">
        <v>0</v>
      </c>
      <c r="BF38" s="23">
        <f>O38</f>
        <v>0</v>
      </c>
      <c r="BH38" s="23">
        <f>G38*AO38</f>
        <v>0</v>
      </c>
      <c r="BI38" s="23">
        <f>G38*AP38</f>
        <v>0</v>
      </c>
      <c r="BJ38" s="23">
        <f>G38*H38</f>
        <v>0</v>
      </c>
      <c r="BK38" s="79" t="s">
        <v>35</v>
      </c>
      <c r="BL38" s="23"/>
      <c r="BW38" s="23">
        <f>I38</f>
        <v>21</v>
      </c>
      <c r="BX38" s="5" t="s">
        <v>76</v>
      </c>
    </row>
    <row r="39" spans="1:76" ht="13.5" customHeight="1" x14ac:dyDescent="0.25">
      <c r="A39" s="80"/>
      <c r="C39" s="25" t="s">
        <v>36</v>
      </c>
      <c r="D39" s="107" t="s">
        <v>77</v>
      </c>
      <c r="E39" s="108"/>
      <c r="F39" s="108"/>
      <c r="G39" s="108"/>
      <c r="H39" s="108"/>
      <c r="I39" s="108"/>
      <c r="J39" s="108"/>
      <c r="K39" s="108"/>
      <c r="L39" s="108"/>
      <c r="M39" s="108"/>
      <c r="N39" s="108"/>
      <c r="O39" s="108"/>
      <c r="P39" s="109"/>
    </row>
    <row r="40" spans="1:76" x14ac:dyDescent="0.25">
      <c r="A40" s="75" t="s">
        <v>27</v>
      </c>
      <c r="B40" s="17" t="s">
        <v>26</v>
      </c>
      <c r="C40" s="17" t="s">
        <v>78</v>
      </c>
      <c r="D40" s="103" t="s">
        <v>79</v>
      </c>
      <c r="E40" s="104"/>
      <c r="F40" s="76" t="s">
        <v>25</v>
      </c>
      <c r="G40" s="76" t="s">
        <v>25</v>
      </c>
      <c r="H40" s="76" t="s">
        <v>25</v>
      </c>
      <c r="I40" s="76" t="s">
        <v>25</v>
      </c>
      <c r="J40" s="19">
        <f>SUM(J41:J41)</f>
        <v>0</v>
      </c>
      <c r="K40" s="19">
        <f>SUM(K41:K41)</f>
        <v>0</v>
      </c>
      <c r="L40" s="19">
        <f>SUM(L41:L41)</f>
        <v>0</v>
      </c>
      <c r="M40" s="19">
        <f>SUM(M41:M41)</f>
        <v>0</v>
      </c>
      <c r="N40" s="18" t="s">
        <v>27</v>
      </c>
      <c r="O40" s="19">
        <f>SUM(O41:O41)</f>
        <v>0</v>
      </c>
      <c r="P40" s="77" t="s">
        <v>27</v>
      </c>
      <c r="AI40" s="18" t="s">
        <v>26</v>
      </c>
      <c r="AS40" s="19">
        <f>SUM(AJ41:AJ41)</f>
        <v>0</v>
      </c>
      <c r="AT40" s="19">
        <f>SUM(AK41:AK41)</f>
        <v>0</v>
      </c>
      <c r="AU40" s="19">
        <f>SUM(AL41:AL41)</f>
        <v>0</v>
      </c>
    </row>
    <row r="41" spans="1:76" x14ac:dyDescent="0.25">
      <c r="A41" s="1" t="s">
        <v>228</v>
      </c>
      <c r="B41" s="2" t="s">
        <v>26</v>
      </c>
      <c r="C41" s="2" t="s">
        <v>80</v>
      </c>
      <c r="D41" s="96" t="s">
        <v>81</v>
      </c>
      <c r="E41" s="90"/>
      <c r="F41" s="2" t="s">
        <v>82</v>
      </c>
      <c r="G41" s="23">
        <f>'Rozpočet - vybrané sloupce'!H38</f>
        <v>34.99</v>
      </c>
      <c r="H41" s="23">
        <f>'Rozpočet - vybrané sloupce'!I38</f>
        <v>0</v>
      </c>
      <c r="I41" s="22">
        <v>21</v>
      </c>
      <c r="J41" s="23">
        <f>ROUND(G41*AO41,2)</f>
        <v>0</v>
      </c>
      <c r="K41" s="23">
        <f>ROUND(G41*AP41,2)</f>
        <v>0</v>
      </c>
      <c r="L41" s="23">
        <f>ROUND(G41*H41,2)</f>
        <v>0</v>
      </c>
      <c r="M41" s="23">
        <f>L41*(1+BW41/100)</f>
        <v>0</v>
      </c>
      <c r="N41" s="23">
        <v>0</v>
      </c>
      <c r="O41" s="23">
        <f>G41*N41</f>
        <v>0</v>
      </c>
      <c r="P41" s="78" t="s">
        <v>34</v>
      </c>
      <c r="Z41" s="23">
        <f>ROUND(IF(AQ41="5",BJ41,0),2)</f>
        <v>0</v>
      </c>
      <c r="AB41" s="23">
        <f>ROUND(IF(AQ41="1",BH41,0),2)</f>
        <v>0</v>
      </c>
      <c r="AC41" s="23">
        <f>ROUND(IF(AQ41="1",BI41,0),2)</f>
        <v>0</v>
      </c>
      <c r="AD41" s="23">
        <f>ROUND(IF(AQ41="7",BH41,0),2)</f>
        <v>0</v>
      </c>
      <c r="AE41" s="23">
        <f>ROUND(IF(AQ41="7",BI41,0),2)</f>
        <v>0</v>
      </c>
      <c r="AF41" s="23">
        <f>ROUND(IF(AQ41="2",BH41,0),2)</f>
        <v>0</v>
      </c>
      <c r="AG41" s="23">
        <f>ROUND(IF(AQ41="2",BI41,0),2)</f>
        <v>0</v>
      </c>
      <c r="AH41" s="23">
        <f>ROUND(IF(AQ41="0",BJ41,0),2)</f>
        <v>0</v>
      </c>
      <c r="AI41" s="18" t="s">
        <v>26</v>
      </c>
      <c r="AJ41" s="23">
        <f>IF(AN41=0,L41,0)</f>
        <v>0</v>
      </c>
      <c r="AK41" s="23">
        <f>IF(AN41=12,L41,0)</f>
        <v>0</v>
      </c>
      <c r="AL41" s="23">
        <f>IF(AN41=21,L41,0)</f>
        <v>0</v>
      </c>
      <c r="AN41" s="23">
        <v>21</v>
      </c>
      <c r="AO41" s="23">
        <f>H41*0</f>
        <v>0</v>
      </c>
      <c r="AP41" s="23">
        <f>H41*(1-0)</f>
        <v>0</v>
      </c>
      <c r="AQ41" s="79" t="s">
        <v>219</v>
      </c>
      <c r="AV41" s="23">
        <f>ROUND(AW41+AX41,2)</f>
        <v>0</v>
      </c>
      <c r="AW41" s="23">
        <f>ROUND(G41*AO41,2)</f>
        <v>0</v>
      </c>
      <c r="AX41" s="23">
        <f>ROUND(G41*AP41,2)</f>
        <v>0</v>
      </c>
      <c r="AY41" s="79" t="s">
        <v>229</v>
      </c>
      <c r="AZ41" s="79" t="s">
        <v>221</v>
      </c>
      <c r="BA41" s="18" t="s">
        <v>208</v>
      </c>
      <c r="BC41" s="23">
        <f>AW41+AX41</f>
        <v>0</v>
      </c>
      <c r="BD41" s="23">
        <f>H41/(100-BE41)*100</f>
        <v>0</v>
      </c>
      <c r="BE41" s="23">
        <v>0</v>
      </c>
      <c r="BF41" s="23">
        <f>O41</f>
        <v>0</v>
      </c>
      <c r="BH41" s="23">
        <f>G41*AO41</f>
        <v>0</v>
      </c>
      <c r="BI41" s="23">
        <f>G41*AP41</f>
        <v>0</v>
      </c>
      <c r="BJ41" s="23">
        <f>G41*H41</f>
        <v>0</v>
      </c>
      <c r="BK41" s="79" t="s">
        <v>35</v>
      </c>
      <c r="BL41" s="23"/>
      <c r="BW41" s="23">
        <f>I41</f>
        <v>21</v>
      </c>
      <c r="BX41" s="5" t="s">
        <v>81</v>
      </c>
    </row>
    <row r="42" spans="1:76" ht="13.5" customHeight="1" x14ac:dyDescent="0.25">
      <c r="A42" s="80"/>
      <c r="C42" s="25" t="s">
        <v>209</v>
      </c>
      <c r="D42" s="107" t="s">
        <v>230</v>
      </c>
      <c r="E42" s="108"/>
      <c r="F42" s="108"/>
      <c r="G42" s="108"/>
      <c r="H42" s="108"/>
      <c r="I42" s="108"/>
      <c r="J42" s="108"/>
      <c r="K42" s="108"/>
      <c r="L42" s="108"/>
      <c r="M42" s="108"/>
      <c r="N42" s="108"/>
      <c r="O42" s="108"/>
      <c r="P42" s="109"/>
    </row>
    <row r="43" spans="1:76" ht="25.5" x14ac:dyDescent="0.25">
      <c r="A43" s="80"/>
      <c r="C43" s="25" t="s">
        <v>60</v>
      </c>
      <c r="D43" s="107" t="s">
        <v>84</v>
      </c>
      <c r="E43" s="108"/>
      <c r="F43" s="108"/>
      <c r="G43" s="108"/>
      <c r="H43" s="108"/>
      <c r="I43" s="108"/>
      <c r="J43" s="108"/>
      <c r="K43" s="108"/>
      <c r="L43" s="108"/>
      <c r="M43" s="108"/>
      <c r="N43" s="108"/>
      <c r="O43" s="108"/>
      <c r="P43" s="109"/>
      <c r="BX43" s="26" t="s">
        <v>84</v>
      </c>
    </row>
    <row r="44" spans="1:76" ht="27" customHeight="1" x14ac:dyDescent="0.25">
      <c r="A44" s="80"/>
      <c r="C44" s="25" t="s">
        <v>36</v>
      </c>
      <c r="D44" s="107" t="s">
        <v>83</v>
      </c>
      <c r="E44" s="108"/>
      <c r="F44" s="108"/>
      <c r="G44" s="108"/>
      <c r="H44" s="108"/>
      <c r="I44" s="108"/>
      <c r="J44" s="108"/>
      <c r="K44" s="108"/>
      <c r="L44" s="108"/>
      <c r="M44" s="108"/>
      <c r="N44" s="108"/>
      <c r="O44" s="108"/>
      <c r="P44" s="109"/>
    </row>
    <row r="45" spans="1:76" x14ac:dyDescent="0.25">
      <c r="A45" s="75" t="s">
        <v>27</v>
      </c>
      <c r="B45" s="17" t="s">
        <v>85</v>
      </c>
      <c r="C45" s="17" t="s">
        <v>27</v>
      </c>
      <c r="D45" s="103" t="s">
        <v>86</v>
      </c>
      <c r="E45" s="104"/>
      <c r="F45" s="76" t="s">
        <v>25</v>
      </c>
      <c r="G45" s="76" t="s">
        <v>25</v>
      </c>
      <c r="H45" s="76" t="s">
        <v>25</v>
      </c>
      <c r="I45" s="76" t="s">
        <v>25</v>
      </c>
      <c r="J45" s="19">
        <f>J46+J51+J53+J56</f>
        <v>0</v>
      </c>
      <c r="K45" s="19">
        <f>K46+K51+K53+K56</f>
        <v>0</v>
      </c>
      <c r="L45" s="19">
        <f>L46+L51+L53+L56</f>
        <v>0</v>
      </c>
      <c r="M45" s="19">
        <f>M46+M51+M53+M56</f>
        <v>0</v>
      </c>
      <c r="N45" s="18" t="s">
        <v>27</v>
      </c>
      <c r="O45" s="19">
        <f>O46+O51+O53+O56</f>
        <v>1</v>
      </c>
      <c r="P45" s="77" t="s">
        <v>27</v>
      </c>
    </row>
    <row r="46" spans="1:76" x14ac:dyDescent="0.25">
      <c r="A46" s="75" t="s">
        <v>27</v>
      </c>
      <c r="B46" s="17" t="s">
        <v>85</v>
      </c>
      <c r="C46" s="17" t="s">
        <v>87</v>
      </c>
      <c r="D46" s="103" t="s">
        <v>28</v>
      </c>
      <c r="E46" s="104"/>
      <c r="F46" s="76" t="s">
        <v>25</v>
      </c>
      <c r="G46" s="76" t="s">
        <v>25</v>
      </c>
      <c r="H46" s="76" t="s">
        <v>25</v>
      </c>
      <c r="I46" s="76" t="s">
        <v>25</v>
      </c>
      <c r="J46" s="19">
        <f>SUM(J47:J49)</f>
        <v>0</v>
      </c>
      <c r="K46" s="19">
        <f>SUM(K47:K49)</f>
        <v>0</v>
      </c>
      <c r="L46" s="19">
        <f>SUM(L47:L49)</f>
        <v>0</v>
      </c>
      <c r="M46" s="19">
        <f>SUM(M47:M49)</f>
        <v>0</v>
      </c>
      <c r="N46" s="18" t="s">
        <v>27</v>
      </c>
      <c r="O46" s="19">
        <f>SUM(O47:O49)</f>
        <v>0</v>
      </c>
      <c r="P46" s="77" t="s">
        <v>27</v>
      </c>
      <c r="AI46" s="18" t="s">
        <v>85</v>
      </c>
      <c r="AS46" s="19">
        <f>SUM(AJ47:AJ49)</f>
        <v>0</v>
      </c>
      <c r="AT46" s="19">
        <f>SUM(AK47:AK49)</f>
        <v>0</v>
      </c>
      <c r="AU46" s="19">
        <f>SUM(AL47:AL49)</f>
        <v>0</v>
      </c>
    </row>
    <row r="47" spans="1:76" x14ac:dyDescent="0.25">
      <c r="A47" s="1" t="s">
        <v>101</v>
      </c>
      <c r="B47" s="2" t="s">
        <v>85</v>
      </c>
      <c r="C47" s="2" t="s">
        <v>88</v>
      </c>
      <c r="D47" s="96" t="s">
        <v>89</v>
      </c>
      <c r="E47" s="90"/>
      <c r="F47" s="2" t="s">
        <v>47</v>
      </c>
      <c r="G47" s="23">
        <f>'Rozpočet - vybrané sloupce'!H43</f>
        <v>50</v>
      </c>
      <c r="H47" s="23">
        <f>'Rozpočet - vybrané sloupce'!I43</f>
        <v>0</v>
      </c>
      <c r="I47" s="22">
        <v>21</v>
      </c>
      <c r="J47" s="23">
        <f>ROUND(G47*AO47,2)</f>
        <v>0</v>
      </c>
      <c r="K47" s="23">
        <f>ROUND(G47*AP47,2)</f>
        <v>0</v>
      </c>
      <c r="L47" s="23">
        <f>ROUND(G47*H47,2)</f>
        <v>0</v>
      </c>
      <c r="M47" s="23">
        <f>L47*(1+BW47/100)</f>
        <v>0</v>
      </c>
      <c r="N47" s="23">
        <v>0</v>
      </c>
      <c r="O47" s="23">
        <f>G47*N47</f>
        <v>0</v>
      </c>
      <c r="P47" s="78" t="s">
        <v>34</v>
      </c>
      <c r="Z47" s="23">
        <f>ROUND(IF(AQ47="5",BJ47,0),2)</f>
        <v>0</v>
      </c>
      <c r="AB47" s="23">
        <f>ROUND(IF(AQ47="1",BH47,0),2)</f>
        <v>0</v>
      </c>
      <c r="AC47" s="23">
        <f>ROUND(IF(AQ47="1",BI47,0),2)</f>
        <v>0</v>
      </c>
      <c r="AD47" s="23">
        <f>ROUND(IF(AQ47="7",BH47,0),2)</f>
        <v>0</v>
      </c>
      <c r="AE47" s="23">
        <f>ROUND(IF(AQ47="7",BI47,0),2)</f>
        <v>0</v>
      </c>
      <c r="AF47" s="23">
        <f>ROUND(IF(AQ47="2",BH47,0),2)</f>
        <v>0</v>
      </c>
      <c r="AG47" s="23">
        <f>ROUND(IF(AQ47="2",BI47,0),2)</f>
        <v>0</v>
      </c>
      <c r="AH47" s="23">
        <f>ROUND(IF(AQ47="0",BJ47,0),2)</f>
        <v>0</v>
      </c>
      <c r="AI47" s="18" t="s">
        <v>85</v>
      </c>
      <c r="AJ47" s="23">
        <f>IF(AN47=0,L47,0)</f>
        <v>0</v>
      </c>
      <c r="AK47" s="23">
        <f>IF(AN47=12,L47,0)</f>
        <v>0</v>
      </c>
      <c r="AL47" s="23">
        <f>IF(AN47=21,L47,0)</f>
        <v>0</v>
      </c>
      <c r="AN47" s="23">
        <v>21</v>
      </c>
      <c r="AO47" s="23">
        <f>H47*0</f>
        <v>0</v>
      </c>
      <c r="AP47" s="23">
        <f>H47*(1-0)</f>
        <v>0</v>
      </c>
      <c r="AQ47" s="79" t="s">
        <v>72</v>
      </c>
      <c r="AV47" s="23">
        <f>ROUND(AW47+AX47,2)</f>
        <v>0</v>
      </c>
      <c r="AW47" s="23">
        <f>ROUND(G47*AO47,2)</f>
        <v>0</v>
      </c>
      <c r="AX47" s="23">
        <f>ROUND(G47*AP47,2)</f>
        <v>0</v>
      </c>
      <c r="AY47" s="79" t="s">
        <v>231</v>
      </c>
      <c r="AZ47" s="79" t="s">
        <v>232</v>
      </c>
      <c r="BA47" s="18" t="s">
        <v>233</v>
      </c>
      <c r="BC47" s="23">
        <f>AW47+AX47</f>
        <v>0</v>
      </c>
      <c r="BD47" s="23">
        <f>H47/(100-BE47)*100</f>
        <v>0</v>
      </c>
      <c r="BE47" s="23">
        <v>0</v>
      </c>
      <c r="BF47" s="23">
        <f>O47</f>
        <v>0</v>
      </c>
      <c r="BH47" s="23">
        <f>G47*AO47</f>
        <v>0</v>
      </c>
      <c r="BI47" s="23">
        <f>G47*AP47</f>
        <v>0</v>
      </c>
      <c r="BJ47" s="23">
        <f>G47*H47</f>
        <v>0</v>
      </c>
      <c r="BK47" s="79" t="s">
        <v>35</v>
      </c>
      <c r="BL47" s="23">
        <v>18</v>
      </c>
      <c r="BW47" s="23">
        <f>I47</f>
        <v>21</v>
      </c>
      <c r="BX47" s="5" t="s">
        <v>89</v>
      </c>
    </row>
    <row r="48" spans="1:76" ht="13.5" customHeight="1" x14ac:dyDescent="0.25">
      <c r="A48" s="80"/>
      <c r="C48" s="25" t="s">
        <v>36</v>
      </c>
      <c r="D48" s="107" t="s">
        <v>90</v>
      </c>
      <c r="E48" s="108"/>
      <c r="F48" s="108"/>
      <c r="G48" s="108"/>
      <c r="H48" s="108"/>
      <c r="I48" s="108"/>
      <c r="J48" s="108"/>
      <c r="K48" s="108"/>
      <c r="L48" s="108"/>
      <c r="M48" s="108"/>
      <c r="N48" s="108"/>
      <c r="O48" s="108"/>
      <c r="P48" s="109"/>
    </row>
    <row r="49" spans="1:76" x14ac:dyDescent="0.25">
      <c r="A49" s="1" t="s">
        <v>234</v>
      </c>
      <c r="B49" s="2" t="s">
        <v>85</v>
      </c>
      <c r="C49" s="2" t="s">
        <v>91</v>
      </c>
      <c r="D49" s="96" t="s">
        <v>92</v>
      </c>
      <c r="E49" s="90"/>
      <c r="F49" s="2" t="s">
        <v>47</v>
      </c>
      <c r="G49" s="23">
        <f>'Rozpočet - vybrané sloupce'!H45</f>
        <v>50</v>
      </c>
      <c r="H49" s="23">
        <f>'Rozpočet - vybrané sloupce'!I45</f>
        <v>0</v>
      </c>
      <c r="I49" s="22">
        <v>21</v>
      </c>
      <c r="J49" s="23">
        <f>ROUND(G49*AO49,2)</f>
        <v>0</v>
      </c>
      <c r="K49" s="23">
        <f>ROUND(G49*AP49,2)</f>
        <v>0</v>
      </c>
      <c r="L49" s="23">
        <f>ROUND(G49*H49,2)</f>
        <v>0</v>
      </c>
      <c r="M49" s="23">
        <f>L49*(1+BW49/100)</f>
        <v>0</v>
      </c>
      <c r="N49" s="23">
        <v>0</v>
      </c>
      <c r="O49" s="23">
        <f>G49*N49</f>
        <v>0</v>
      </c>
      <c r="P49" s="78" t="s">
        <v>34</v>
      </c>
      <c r="Z49" s="23">
        <f>ROUND(IF(AQ49="5",BJ49,0),2)</f>
        <v>0</v>
      </c>
      <c r="AB49" s="23">
        <f>ROUND(IF(AQ49="1",BH49,0),2)</f>
        <v>0</v>
      </c>
      <c r="AC49" s="23">
        <f>ROUND(IF(AQ49="1",BI49,0),2)</f>
        <v>0</v>
      </c>
      <c r="AD49" s="23">
        <f>ROUND(IF(AQ49="7",BH49,0),2)</f>
        <v>0</v>
      </c>
      <c r="AE49" s="23">
        <f>ROUND(IF(AQ49="7",BI49,0),2)</f>
        <v>0</v>
      </c>
      <c r="AF49" s="23">
        <f>ROUND(IF(AQ49="2",BH49,0),2)</f>
        <v>0</v>
      </c>
      <c r="AG49" s="23">
        <f>ROUND(IF(AQ49="2",BI49,0),2)</f>
        <v>0</v>
      </c>
      <c r="AH49" s="23">
        <f>ROUND(IF(AQ49="0",BJ49,0),2)</f>
        <v>0</v>
      </c>
      <c r="AI49" s="18" t="s">
        <v>85</v>
      </c>
      <c r="AJ49" s="23">
        <f>IF(AN49=0,L49,0)</f>
        <v>0</v>
      </c>
      <c r="AK49" s="23">
        <f>IF(AN49=12,L49,0)</f>
        <v>0</v>
      </c>
      <c r="AL49" s="23">
        <f>IF(AN49=21,L49,0)</f>
        <v>0</v>
      </c>
      <c r="AN49" s="23">
        <v>21</v>
      </c>
      <c r="AO49" s="23">
        <f>H49*0</f>
        <v>0</v>
      </c>
      <c r="AP49" s="23">
        <f>H49*(1-0)</f>
        <v>0</v>
      </c>
      <c r="AQ49" s="79" t="s">
        <v>72</v>
      </c>
      <c r="AV49" s="23">
        <f>ROUND(AW49+AX49,2)</f>
        <v>0</v>
      </c>
      <c r="AW49" s="23">
        <f>ROUND(G49*AO49,2)</f>
        <v>0</v>
      </c>
      <c r="AX49" s="23">
        <f>ROUND(G49*AP49,2)</f>
        <v>0</v>
      </c>
      <c r="AY49" s="79" t="s">
        <v>231</v>
      </c>
      <c r="AZ49" s="79" t="s">
        <v>232</v>
      </c>
      <c r="BA49" s="18" t="s">
        <v>233</v>
      </c>
      <c r="BC49" s="23">
        <f>AW49+AX49</f>
        <v>0</v>
      </c>
      <c r="BD49" s="23">
        <f>H49/(100-BE49)*100</f>
        <v>0</v>
      </c>
      <c r="BE49" s="23">
        <v>0</v>
      </c>
      <c r="BF49" s="23">
        <f>O49</f>
        <v>0</v>
      </c>
      <c r="BH49" s="23">
        <f>G49*AO49</f>
        <v>0</v>
      </c>
      <c r="BI49" s="23">
        <f>G49*AP49</f>
        <v>0</v>
      </c>
      <c r="BJ49" s="23">
        <f>G49*H49</f>
        <v>0</v>
      </c>
      <c r="BK49" s="79" t="s">
        <v>35</v>
      </c>
      <c r="BL49" s="23">
        <v>18</v>
      </c>
      <c r="BW49" s="23">
        <f>I49</f>
        <v>21</v>
      </c>
      <c r="BX49" s="5" t="s">
        <v>92</v>
      </c>
    </row>
    <row r="50" spans="1:76" ht="13.5" customHeight="1" x14ac:dyDescent="0.25">
      <c r="A50" s="80"/>
      <c r="C50" s="25" t="s">
        <v>36</v>
      </c>
      <c r="D50" s="107" t="s">
        <v>93</v>
      </c>
      <c r="E50" s="108"/>
      <c r="F50" s="108"/>
      <c r="G50" s="108"/>
      <c r="H50" s="108"/>
      <c r="I50" s="108"/>
      <c r="J50" s="108"/>
      <c r="K50" s="108"/>
      <c r="L50" s="108"/>
      <c r="M50" s="108"/>
      <c r="N50" s="108"/>
      <c r="O50" s="108"/>
      <c r="P50" s="109"/>
    </row>
    <row r="51" spans="1:76" x14ac:dyDescent="0.25">
      <c r="A51" s="75" t="s">
        <v>27</v>
      </c>
      <c r="B51" s="17" t="s">
        <v>85</v>
      </c>
      <c r="C51" s="17" t="s">
        <v>62</v>
      </c>
      <c r="D51" s="103" t="s">
        <v>63</v>
      </c>
      <c r="E51" s="104"/>
      <c r="F51" s="76" t="s">
        <v>25</v>
      </c>
      <c r="G51" s="76" t="s">
        <v>25</v>
      </c>
      <c r="H51" s="76" t="s">
        <v>25</v>
      </c>
      <c r="I51" s="76" t="s">
        <v>25</v>
      </c>
      <c r="J51" s="19">
        <f>SUM(J52:J52)</f>
        <v>0</v>
      </c>
      <c r="K51" s="19">
        <f>SUM(K52:K52)</f>
        <v>0</v>
      </c>
      <c r="L51" s="19">
        <f>SUM(L52:L52)</f>
        <v>0</v>
      </c>
      <c r="M51" s="19">
        <f>SUM(M52:M52)</f>
        <v>0</v>
      </c>
      <c r="N51" s="18" t="s">
        <v>27</v>
      </c>
      <c r="O51" s="19">
        <f>SUM(O52:O52)</f>
        <v>0.8</v>
      </c>
      <c r="P51" s="77" t="s">
        <v>27</v>
      </c>
      <c r="AI51" s="18" t="s">
        <v>85</v>
      </c>
      <c r="AS51" s="19">
        <f>SUM(AJ52:AJ52)</f>
        <v>0</v>
      </c>
      <c r="AT51" s="19">
        <f>SUM(AK52:AK52)</f>
        <v>0</v>
      </c>
      <c r="AU51" s="19">
        <f>SUM(AL52:AL52)</f>
        <v>0</v>
      </c>
    </row>
    <row r="52" spans="1:76" x14ac:dyDescent="0.25">
      <c r="A52" s="1" t="s">
        <v>29</v>
      </c>
      <c r="B52" s="2" t="s">
        <v>85</v>
      </c>
      <c r="C52" s="2" t="s">
        <v>94</v>
      </c>
      <c r="D52" s="96" t="s">
        <v>95</v>
      </c>
      <c r="E52" s="90"/>
      <c r="F52" s="2" t="s">
        <v>96</v>
      </c>
      <c r="G52" s="23">
        <f>'Rozpočet - vybrané sloupce'!H48</f>
        <v>2</v>
      </c>
      <c r="H52" s="23">
        <f>'Rozpočet - vybrané sloupce'!I48</f>
        <v>0</v>
      </c>
      <c r="I52" s="22">
        <v>21</v>
      </c>
      <c r="J52" s="23">
        <f>ROUND(G52*AO52,2)</f>
        <v>0</v>
      </c>
      <c r="K52" s="23">
        <f>ROUND(G52*AP52,2)</f>
        <v>0</v>
      </c>
      <c r="L52" s="23">
        <f>ROUND(G52*H52,2)</f>
        <v>0</v>
      </c>
      <c r="M52" s="23">
        <f>L52*(1+BW52/100)</f>
        <v>0</v>
      </c>
      <c r="N52" s="23">
        <v>0.4</v>
      </c>
      <c r="O52" s="23">
        <f>G52*N52</f>
        <v>0.8</v>
      </c>
      <c r="P52" s="78" t="s">
        <v>34</v>
      </c>
      <c r="Z52" s="23">
        <f>ROUND(IF(AQ52="5",BJ52,0),2)</f>
        <v>0</v>
      </c>
      <c r="AB52" s="23">
        <f>ROUND(IF(AQ52="1",BH52,0),2)</f>
        <v>0</v>
      </c>
      <c r="AC52" s="23">
        <f>ROUND(IF(AQ52="1",BI52,0),2)</f>
        <v>0</v>
      </c>
      <c r="AD52" s="23">
        <f>ROUND(IF(AQ52="7",BH52,0),2)</f>
        <v>0</v>
      </c>
      <c r="AE52" s="23">
        <f>ROUND(IF(AQ52="7",BI52,0),2)</f>
        <v>0</v>
      </c>
      <c r="AF52" s="23">
        <f>ROUND(IF(AQ52="2",BH52,0),2)</f>
        <v>0</v>
      </c>
      <c r="AG52" s="23">
        <f>ROUND(IF(AQ52="2",BI52,0),2)</f>
        <v>0</v>
      </c>
      <c r="AH52" s="23">
        <f>ROUND(IF(AQ52="0",BJ52,0),2)</f>
        <v>0</v>
      </c>
      <c r="AI52" s="18" t="s">
        <v>85</v>
      </c>
      <c r="AJ52" s="23">
        <f>IF(AN52=0,L52,0)</f>
        <v>0</v>
      </c>
      <c r="AK52" s="23">
        <f>IF(AN52=12,L52,0)</f>
        <v>0</v>
      </c>
      <c r="AL52" s="23">
        <f>IF(AN52=21,L52,0)</f>
        <v>0</v>
      </c>
      <c r="AN52" s="23">
        <v>21</v>
      </c>
      <c r="AO52" s="23">
        <f>H52*0.207547257</f>
        <v>0</v>
      </c>
      <c r="AP52" s="23">
        <f>H52*(1-0.207547257)</f>
        <v>0</v>
      </c>
      <c r="AQ52" s="79" t="s">
        <v>72</v>
      </c>
      <c r="AV52" s="23">
        <f>ROUND(AW52+AX52,2)</f>
        <v>0</v>
      </c>
      <c r="AW52" s="23">
        <f>ROUND(G52*AO52,2)</f>
        <v>0</v>
      </c>
      <c r="AX52" s="23">
        <f>ROUND(G52*AP52,2)</f>
        <v>0</v>
      </c>
      <c r="AY52" s="79" t="s">
        <v>223</v>
      </c>
      <c r="AZ52" s="79" t="s">
        <v>235</v>
      </c>
      <c r="BA52" s="18" t="s">
        <v>233</v>
      </c>
      <c r="BC52" s="23">
        <f>AW52+AX52</f>
        <v>0</v>
      </c>
      <c r="BD52" s="23">
        <f>H52/(100-BE52)*100</f>
        <v>0</v>
      </c>
      <c r="BE52" s="23">
        <v>0</v>
      </c>
      <c r="BF52" s="23">
        <f>O52</f>
        <v>0.8</v>
      </c>
      <c r="BH52" s="23">
        <f>G52*AO52</f>
        <v>0</v>
      </c>
      <c r="BI52" s="23">
        <f>G52*AP52</f>
        <v>0</v>
      </c>
      <c r="BJ52" s="23">
        <f>G52*H52</f>
        <v>0</v>
      </c>
      <c r="BK52" s="79" t="s">
        <v>35</v>
      </c>
      <c r="BL52" s="23">
        <v>93</v>
      </c>
      <c r="BW52" s="23">
        <f>I52</f>
        <v>21</v>
      </c>
      <c r="BX52" s="5" t="s">
        <v>95</v>
      </c>
    </row>
    <row r="53" spans="1:76" x14ac:dyDescent="0.25">
      <c r="A53" s="75" t="s">
        <v>27</v>
      </c>
      <c r="B53" s="17" t="s">
        <v>85</v>
      </c>
      <c r="C53" s="17" t="s">
        <v>97</v>
      </c>
      <c r="D53" s="103" t="s">
        <v>98</v>
      </c>
      <c r="E53" s="104"/>
      <c r="F53" s="76" t="s">
        <v>25</v>
      </c>
      <c r="G53" s="76" t="s">
        <v>25</v>
      </c>
      <c r="H53" s="76" t="s">
        <v>25</v>
      </c>
      <c r="I53" s="76" t="s">
        <v>25</v>
      </c>
      <c r="J53" s="19">
        <f>SUM(J54:J54)</f>
        <v>0</v>
      </c>
      <c r="K53" s="19">
        <f>SUM(K54:K54)</f>
        <v>0</v>
      </c>
      <c r="L53" s="19">
        <f>SUM(L54:L54)</f>
        <v>0</v>
      </c>
      <c r="M53" s="19">
        <f>SUM(M54:M54)</f>
        <v>0</v>
      </c>
      <c r="N53" s="18" t="s">
        <v>27</v>
      </c>
      <c r="O53" s="19">
        <f>SUM(O54:O54)</f>
        <v>0</v>
      </c>
      <c r="P53" s="77" t="s">
        <v>27</v>
      </c>
      <c r="AI53" s="18" t="s">
        <v>85</v>
      </c>
      <c r="AS53" s="19">
        <f>SUM(AJ54:AJ54)</f>
        <v>0</v>
      </c>
      <c r="AT53" s="19">
        <f>SUM(AK54:AK54)</f>
        <v>0</v>
      </c>
      <c r="AU53" s="19">
        <f>SUM(AL54:AL54)</f>
        <v>0</v>
      </c>
    </row>
    <row r="54" spans="1:76" x14ac:dyDescent="0.25">
      <c r="A54" s="1" t="s">
        <v>236</v>
      </c>
      <c r="B54" s="2" t="s">
        <v>85</v>
      </c>
      <c r="C54" s="2" t="s">
        <v>99</v>
      </c>
      <c r="D54" s="96" t="s">
        <v>100</v>
      </c>
      <c r="E54" s="90"/>
      <c r="F54" s="2" t="s">
        <v>82</v>
      </c>
      <c r="G54" s="23">
        <f>'Rozpočet - vybrané sloupce'!H50</f>
        <v>8</v>
      </c>
      <c r="H54" s="23">
        <f>'Rozpočet - vybrané sloupce'!I50</f>
        <v>0</v>
      </c>
      <c r="I54" s="22">
        <v>21</v>
      </c>
      <c r="J54" s="23">
        <f>ROUND(G54*AO54,2)</f>
        <v>0</v>
      </c>
      <c r="K54" s="23">
        <f>ROUND(G54*AP54,2)</f>
        <v>0</v>
      </c>
      <c r="L54" s="23">
        <f>ROUND(G54*H54,2)</f>
        <v>0</v>
      </c>
      <c r="M54" s="23">
        <f>L54*(1+BW54/100)</f>
        <v>0</v>
      </c>
      <c r="N54" s="23">
        <v>0</v>
      </c>
      <c r="O54" s="23">
        <f>G54*N54</f>
        <v>0</v>
      </c>
      <c r="P54" s="78" t="s">
        <v>34</v>
      </c>
      <c r="Z54" s="23">
        <f>ROUND(IF(AQ54="5",BJ54,0),2)</f>
        <v>0</v>
      </c>
      <c r="AB54" s="23">
        <f>ROUND(IF(AQ54="1",BH54,0),2)</f>
        <v>0</v>
      </c>
      <c r="AC54" s="23">
        <f>ROUND(IF(AQ54="1",BI54,0),2)</f>
        <v>0</v>
      </c>
      <c r="AD54" s="23">
        <f>ROUND(IF(AQ54="7",BH54,0),2)</f>
        <v>0</v>
      </c>
      <c r="AE54" s="23">
        <f>ROUND(IF(AQ54="7",BI54,0),2)</f>
        <v>0</v>
      </c>
      <c r="AF54" s="23">
        <f>ROUND(IF(AQ54="2",BH54,0),2)</f>
        <v>0</v>
      </c>
      <c r="AG54" s="23">
        <f>ROUND(IF(AQ54="2",BI54,0),2)</f>
        <v>0</v>
      </c>
      <c r="AH54" s="23">
        <f>ROUND(IF(AQ54="0",BJ54,0),2)</f>
        <v>0</v>
      </c>
      <c r="AI54" s="18" t="s">
        <v>85</v>
      </c>
      <c r="AJ54" s="23">
        <f>IF(AN54=0,L54,0)</f>
        <v>0</v>
      </c>
      <c r="AK54" s="23">
        <f>IF(AN54=12,L54,0)</f>
        <v>0</v>
      </c>
      <c r="AL54" s="23">
        <f>IF(AN54=21,L54,0)</f>
        <v>0</v>
      </c>
      <c r="AN54" s="23">
        <v>21</v>
      </c>
      <c r="AO54" s="23">
        <f>H54*0</f>
        <v>0</v>
      </c>
      <c r="AP54" s="23">
        <f>H54*(1-0)</f>
        <v>0</v>
      </c>
      <c r="AQ54" s="79" t="s">
        <v>219</v>
      </c>
      <c r="AV54" s="23">
        <f>ROUND(AW54+AX54,2)</f>
        <v>0</v>
      </c>
      <c r="AW54" s="23">
        <f>ROUND(G54*AO54,2)</f>
        <v>0</v>
      </c>
      <c r="AX54" s="23">
        <f>ROUND(G54*AP54,2)</f>
        <v>0</v>
      </c>
      <c r="AY54" s="79" t="s">
        <v>237</v>
      </c>
      <c r="AZ54" s="79" t="s">
        <v>235</v>
      </c>
      <c r="BA54" s="18" t="s">
        <v>233</v>
      </c>
      <c r="BC54" s="23">
        <f>AW54+AX54</f>
        <v>0</v>
      </c>
      <c r="BD54" s="23">
        <f>H54/(100-BE54)*100</f>
        <v>0</v>
      </c>
      <c r="BE54" s="23">
        <v>0</v>
      </c>
      <c r="BF54" s="23">
        <f>O54</f>
        <v>0</v>
      </c>
      <c r="BH54" s="23">
        <f>G54*AO54</f>
        <v>0</v>
      </c>
      <c r="BI54" s="23">
        <f>G54*AP54</f>
        <v>0</v>
      </c>
      <c r="BJ54" s="23">
        <f>G54*H54</f>
        <v>0</v>
      </c>
      <c r="BK54" s="79" t="s">
        <v>35</v>
      </c>
      <c r="BL54" s="23"/>
      <c r="BW54" s="23">
        <f>I54</f>
        <v>21</v>
      </c>
      <c r="BX54" s="5" t="s">
        <v>100</v>
      </c>
    </row>
    <row r="55" spans="1:76" ht="13.5" customHeight="1" x14ac:dyDescent="0.25">
      <c r="A55" s="80"/>
      <c r="C55" s="25" t="s">
        <v>36</v>
      </c>
      <c r="D55" s="107" t="s">
        <v>101</v>
      </c>
      <c r="E55" s="108"/>
      <c r="F55" s="108"/>
      <c r="G55" s="108"/>
      <c r="H55" s="108"/>
      <c r="I55" s="108"/>
      <c r="J55" s="108"/>
      <c r="K55" s="108"/>
      <c r="L55" s="108"/>
      <c r="M55" s="108"/>
      <c r="N55" s="108"/>
      <c r="O55" s="108"/>
      <c r="P55" s="109"/>
    </row>
    <row r="56" spans="1:76" x14ac:dyDescent="0.25">
      <c r="A56" s="75" t="s">
        <v>27</v>
      </c>
      <c r="B56" s="17" t="s">
        <v>85</v>
      </c>
      <c r="C56" s="17" t="s">
        <v>102</v>
      </c>
      <c r="D56" s="103" t="s">
        <v>103</v>
      </c>
      <c r="E56" s="104"/>
      <c r="F56" s="76" t="s">
        <v>25</v>
      </c>
      <c r="G56" s="76" t="s">
        <v>25</v>
      </c>
      <c r="H56" s="76" t="s">
        <v>25</v>
      </c>
      <c r="I56" s="76" t="s">
        <v>25</v>
      </c>
      <c r="J56" s="19">
        <f>SUM(J57:J67)</f>
        <v>0</v>
      </c>
      <c r="K56" s="19">
        <f>SUM(K57:K67)</f>
        <v>0</v>
      </c>
      <c r="L56" s="19">
        <f>SUM(L57:L67)</f>
        <v>0</v>
      </c>
      <c r="M56" s="19">
        <f>SUM(M57:M67)</f>
        <v>0</v>
      </c>
      <c r="N56" s="18" t="s">
        <v>27</v>
      </c>
      <c r="O56" s="19">
        <f>SUM(O57:O67)</f>
        <v>0.2</v>
      </c>
      <c r="P56" s="77" t="s">
        <v>27</v>
      </c>
      <c r="AI56" s="18" t="s">
        <v>85</v>
      </c>
      <c r="AS56" s="19">
        <f>SUM(AJ57:AJ67)</f>
        <v>0</v>
      </c>
      <c r="AT56" s="19">
        <f>SUM(AK57:AK67)</f>
        <v>0</v>
      </c>
      <c r="AU56" s="19">
        <f>SUM(AL57:AL67)</f>
        <v>0</v>
      </c>
    </row>
    <row r="57" spans="1:76" x14ac:dyDescent="0.25">
      <c r="A57" s="1" t="s">
        <v>238</v>
      </c>
      <c r="B57" s="2" t="s">
        <v>85</v>
      </c>
      <c r="C57" s="2" t="s">
        <v>104</v>
      </c>
      <c r="D57" s="96" t="s">
        <v>105</v>
      </c>
      <c r="E57" s="90"/>
      <c r="F57" s="2" t="s">
        <v>71</v>
      </c>
      <c r="G57" s="23">
        <f>'Rozpočet - vybrané sloupce'!H53</f>
        <v>1</v>
      </c>
      <c r="H57" s="23">
        <f>'Rozpočet - vybrané sloupce'!I53</f>
        <v>0</v>
      </c>
      <c r="I57" s="22">
        <v>21</v>
      </c>
      <c r="J57" s="23">
        <f>ROUND(G57*AO57,2)</f>
        <v>0</v>
      </c>
      <c r="K57" s="23">
        <f>ROUND(G57*AP57,2)</f>
        <v>0</v>
      </c>
      <c r="L57" s="23">
        <f>ROUND(G57*H57,2)</f>
        <v>0</v>
      </c>
      <c r="M57" s="23">
        <f>L57*(1+BW57/100)</f>
        <v>0</v>
      </c>
      <c r="N57" s="23">
        <v>0</v>
      </c>
      <c r="O57" s="23">
        <f>G57*N57</f>
        <v>0</v>
      </c>
      <c r="P57" s="78" t="s">
        <v>27</v>
      </c>
      <c r="Z57" s="23">
        <f>ROUND(IF(AQ57="5",BJ57,0),2)</f>
        <v>0</v>
      </c>
      <c r="AB57" s="23">
        <f>ROUND(IF(AQ57="1",BH57,0),2)</f>
        <v>0</v>
      </c>
      <c r="AC57" s="23">
        <f>ROUND(IF(AQ57="1",BI57,0),2)</f>
        <v>0</v>
      </c>
      <c r="AD57" s="23">
        <f>ROUND(IF(AQ57="7",BH57,0),2)</f>
        <v>0</v>
      </c>
      <c r="AE57" s="23">
        <f>ROUND(IF(AQ57="7",BI57,0),2)</f>
        <v>0</v>
      </c>
      <c r="AF57" s="23">
        <f>ROUND(IF(AQ57="2",BH57,0),2)</f>
        <v>0</v>
      </c>
      <c r="AG57" s="23">
        <f>ROUND(IF(AQ57="2",BI57,0),2)</f>
        <v>0</v>
      </c>
      <c r="AH57" s="23">
        <f>ROUND(IF(AQ57="0",BJ57,0),2)</f>
        <v>0</v>
      </c>
      <c r="AI57" s="18" t="s">
        <v>85</v>
      </c>
      <c r="AJ57" s="23">
        <f>IF(AN57=0,L57,0)</f>
        <v>0</v>
      </c>
      <c r="AK57" s="23">
        <f>IF(AN57=12,L57,0)</f>
        <v>0</v>
      </c>
      <c r="AL57" s="23">
        <f>IF(AN57=21,L57,0)</f>
        <v>0</v>
      </c>
      <c r="AN57" s="23">
        <v>21</v>
      </c>
      <c r="AO57" s="23">
        <f>H57*1</f>
        <v>0</v>
      </c>
      <c r="AP57" s="23">
        <f>H57*(1-1)</f>
        <v>0</v>
      </c>
      <c r="AQ57" s="79" t="s">
        <v>239</v>
      </c>
      <c r="AV57" s="23">
        <f>ROUND(AW57+AX57,2)</f>
        <v>0</v>
      </c>
      <c r="AW57" s="23">
        <f>ROUND(G57*AO57,2)</f>
        <v>0</v>
      </c>
      <c r="AX57" s="23">
        <f>ROUND(G57*AP57,2)</f>
        <v>0</v>
      </c>
      <c r="AY57" s="79" t="s">
        <v>240</v>
      </c>
      <c r="AZ57" s="79" t="s">
        <v>241</v>
      </c>
      <c r="BA57" s="18" t="s">
        <v>233</v>
      </c>
      <c r="BC57" s="23">
        <f>AW57+AX57</f>
        <v>0</v>
      </c>
      <c r="BD57" s="23">
        <f>H57/(100-BE57)*100</f>
        <v>0</v>
      </c>
      <c r="BE57" s="23">
        <v>0</v>
      </c>
      <c r="BF57" s="23">
        <f>O57</f>
        <v>0</v>
      </c>
      <c r="BH57" s="23">
        <f>G57*AO57</f>
        <v>0</v>
      </c>
      <c r="BI57" s="23">
        <f>G57*AP57</f>
        <v>0</v>
      </c>
      <c r="BJ57" s="23">
        <f>G57*H57</f>
        <v>0</v>
      </c>
      <c r="BK57" s="79" t="s">
        <v>102</v>
      </c>
      <c r="BL57" s="23"/>
      <c r="BW57" s="23">
        <f>I57</f>
        <v>21</v>
      </c>
      <c r="BX57" s="5" t="s">
        <v>105</v>
      </c>
    </row>
    <row r="58" spans="1:76" ht="13.5" customHeight="1" x14ac:dyDescent="0.25">
      <c r="A58" s="80"/>
      <c r="C58" s="25" t="s">
        <v>36</v>
      </c>
      <c r="D58" s="107" t="s">
        <v>107</v>
      </c>
      <c r="E58" s="108"/>
      <c r="F58" s="108"/>
      <c r="G58" s="108"/>
      <c r="H58" s="108"/>
      <c r="I58" s="108"/>
      <c r="J58" s="108"/>
      <c r="K58" s="108"/>
      <c r="L58" s="108"/>
      <c r="M58" s="108"/>
      <c r="N58" s="108"/>
      <c r="O58" s="108"/>
      <c r="P58" s="109"/>
    </row>
    <row r="59" spans="1:76" x14ac:dyDescent="0.25">
      <c r="A59" s="1" t="s">
        <v>242</v>
      </c>
      <c r="B59" s="2" t="s">
        <v>85</v>
      </c>
      <c r="C59" s="2" t="s">
        <v>108</v>
      </c>
      <c r="D59" s="96" t="s">
        <v>109</v>
      </c>
      <c r="E59" s="90"/>
      <c r="F59" s="2" t="s">
        <v>71</v>
      </c>
      <c r="G59" s="23">
        <f>'Rozpočet - vybrané sloupce'!H55</f>
        <v>1</v>
      </c>
      <c r="H59" s="23">
        <f>'Rozpočet - vybrané sloupce'!I55</f>
        <v>0</v>
      </c>
      <c r="I59" s="22">
        <v>21</v>
      </c>
      <c r="J59" s="23">
        <f>ROUND(G59*AO59,2)</f>
        <v>0</v>
      </c>
      <c r="K59" s="23">
        <f>ROUND(G59*AP59,2)</f>
        <v>0</v>
      </c>
      <c r="L59" s="23">
        <f>ROUND(G59*H59,2)</f>
        <v>0</v>
      </c>
      <c r="M59" s="23">
        <f>L59*(1+BW59/100)</f>
        <v>0</v>
      </c>
      <c r="N59" s="23">
        <v>0</v>
      </c>
      <c r="O59" s="23">
        <f>G59*N59</f>
        <v>0</v>
      </c>
      <c r="P59" s="78" t="s">
        <v>27</v>
      </c>
      <c r="Z59" s="23">
        <f>ROUND(IF(AQ59="5",BJ59,0),2)</f>
        <v>0</v>
      </c>
      <c r="AB59" s="23">
        <f>ROUND(IF(AQ59="1",BH59,0),2)</f>
        <v>0</v>
      </c>
      <c r="AC59" s="23">
        <f>ROUND(IF(AQ59="1",BI59,0),2)</f>
        <v>0</v>
      </c>
      <c r="AD59" s="23">
        <f>ROUND(IF(AQ59="7",BH59,0),2)</f>
        <v>0</v>
      </c>
      <c r="AE59" s="23">
        <f>ROUND(IF(AQ59="7",BI59,0),2)</f>
        <v>0</v>
      </c>
      <c r="AF59" s="23">
        <f>ROUND(IF(AQ59="2",BH59,0),2)</f>
        <v>0</v>
      </c>
      <c r="AG59" s="23">
        <f>ROUND(IF(AQ59="2",BI59,0),2)</f>
        <v>0</v>
      </c>
      <c r="AH59" s="23">
        <f>ROUND(IF(AQ59="0",BJ59,0),2)</f>
        <v>0</v>
      </c>
      <c r="AI59" s="18" t="s">
        <v>85</v>
      </c>
      <c r="AJ59" s="23">
        <f>IF(AN59=0,L59,0)</f>
        <v>0</v>
      </c>
      <c r="AK59" s="23">
        <f>IF(AN59=12,L59,0)</f>
        <v>0</v>
      </c>
      <c r="AL59" s="23">
        <f>IF(AN59=21,L59,0)</f>
        <v>0</v>
      </c>
      <c r="AN59" s="23">
        <v>21</v>
      </c>
      <c r="AO59" s="23">
        <f>H59*1</f>
        <v>0</v>
      </c>
      <c r="AP59" s="23">
        <f>H59*(1-1)</f>
        <v>0</v>
      </c>
      <c r="AQ59" s="79" t="s">
        <v>239</v>
      </c>
      <c r="AV59" s="23">
        <f>ROUND(AW59+AX59,2)</f>
        <v>0</v>
      </c>
      <c r="AW59" s="23">
        <f>ROUND(G59*AO59,2)</f>
        <v>0</v>
      </c>
      <c r="AX59" s="23">
        <f>ROUND(G59*AP59,2)</f>
        <v>0</v>
      </c>
      <c r="AY59" s="79" t="s">
        <v>240</v>
      </c>
      <c r="AZ59" s="79" t="s">
        <v>241</v>
      </c>
      <c r="BA59" s="18" t="s">
        <v>233</v>
      </c>
      <c r="BC59" s="23">
        <f>AW59+AX59</f>
        <v>0</v>
      </c>
      <c r="BD59" s="23">
        <f>H59/(100-BE59)*100</f>
        <v>0</v>
      </c>
      <c r="BE59" s="23">
        <v>0</v>
      </c>
      <c r="BF59" s="23">
        <f>O59</f>
        <v>0</v>
      </c>
      <c r="BH59" s="23">
        <f>G59*AO59</f>
        <v>0</v>
      </c>
      <c r="BI59" s="23">
        <f>G59*AP59</f>
        <v>0</v>
      </c>
      <c r="BJ59" s="23">
        <f>G59*H59</f>
        <v>0</v>
      </c>
      <c r="BK59" s="79" t="s">
        <v>102</v>
      </c>
      <c r="BL59" s="23"/>
      <c r="BW59" s="23">
        <f>I59</f>
        <v>21</v>
      </c>
      <c r="BX59" s="5" t="s">
        <v>109</v>
      </c>
    </row>
    <row r="60" spans="1:76" ht="13.5" customHeight="1" x14ac:dyDescent="0.25">
      <c r="A60" s="80"/>
      <c r="C60" s="25" t="s">
        <v>36</v>
      </c>
      <c r="D60" s="107" t="s">
        <v>107</v>
      </c>
      <c r="E60" s="108"/>
      <c r="F60" s="108"/>
      <c r="G60" s="108"/>
      <c r="H60" s="108"/>
      <c r="I60" s="108"/>
      <c r="J60" s="108"/>
      <c r="K60" s="108"/>
      <c r="L60" s="108"/>
      <c r="M60" s="108"/>
      <c r="N60" s="108"/>
      <c r="O60" s="108"/>
      <c r="P60" s="109"/>
    </row>
    <row r="61" spans="1:76" x14ac:dyDescent="0.25">
      <c r="A61" s="1" t="s">
        <v>243</v>
      </c>
      <c r="B61" s="2" t="s">
        <v>85</v>
      </c>
      <c r="C61" s="2" t="s">
        <v>110</v>
      </c>
      <c r="D61" s="96" t="s">
        <v>111</v>
      </c>
      <c r="E61" s="90"/>
      <c r="F61" s="2" t="s">
        <v>71</v>
      </c>
      <c r="G61" s="23">
        <f>'Rozpočet - vybrané sloupce'!H57</f>
        <v>1</v>
      </c>
      <c r="H61" s="23">
        <f>'Rozpočet - vybrané sloupce'!I57</f>
        <v>0</v>
      </c>
      <c r="I61" s="22">
        <v>21</v>
      </c>
      <c r="J61" s="23">
        <f>ROUND(G61*AO61,2)</f>
        <v>0</v>
      </c>
      <c r="K61" s="23">
        <f>ROUND(G61*AP61,2)</f>
        <v>0</v>
      </c>
      <c r="L61" s="23">
        <f>ROUND(G61*H61,2)</f>
        <v>0</v>
      </c>
      <c r="M61" s="23">
        <f>L61*(1+BW61/100)</f>
        <v>0</v>
      </c>
      <c r="N61" s="23">
        <v>0</v>
      </c>
      <c r="O61" s="23">
        <f>G61*N61</f>
        <v>0</v>
      </c>
      <c r="P61" s="78" t="s">
        <v>27</v>
      </c>
      <c r="Z61" s="23">
        <f>ROUND(IF(AQ61="5",BJ61,0),2)</f>
        <v>0</v>
      </c>
      <c r="AB61" s="23">
        <f>ROUND(IF(AQ61="1",BH61,0),2)</f>
        <v>0</v>
      </c>
      <c r="AC61" s="23">
        <f>ROUND(IF(AQ61="1",BI61,0),2)</f>
        <v>0</v>
      </c>
      <c r="AD61" s="23">
        <f>ROUND(IF(AQ61="7",BH61,0),2)</f>
        <v>0</v>
      </c>
      <c r="AE61" s="23">
        <f>ROUND(IF(AQ61="7",BI61,0),2)</f>
        <v>0</v>
      </c>
      <c r="AF61" s="23">
        <f>ROUND(IF(AQ61="2",BH61,0),2)</f>
        <v>0</v>
      </c>
      <c r="AG61" s="23">
        <f>ROUND(IF(AQ61="2",BI61,0),2)</f>
        <v>0</v>
      </c>
      <c r="AH61" s="23">
        <f>ROUND(IF(AQ61="0",BJ61,0),2)</f>
        <v>0</v>
      </c>
      <c r="AI61" s="18" t="s">
        <v>85</v>
      </c>
      <c r="AJ61" s="23">
        <f>IF(AN61=0,L61,0)</f>
        <v>0</v>
      </c>
      <c r="AK61" s="23">
        <f>IF(AN61=12,L61,0)</f>
        <v>0</v>
      </c>
      <c r="AL61" s="23">
        <f>IF(AN61=21,L61,0)</f>
        <v>0</v>
      </c>
      <c r="AN61" s="23">
        <v>21</v>
      </c>
      <c r="AO61" s="23">
        <f>H61*1</f>
        <v>0</v>
      </c>
      <c r="AP61" s="23">
        <f>H61*(1-1)</f>
        <v>0</v>
      </c>
      <c r="AQ61" s="79" t="s">
        <v>239</v>
      </c>
      <c r="AV61" s="23">
        <f>ROUND(AW61+AX61,2)</f>
        <v>0</v>
      </c>
      <c r="AW61" s="23">
        <f>ROUND(G61*AO61,2)</f>
        <v>0</v>
      </c>
      <c r="AX61" s="23">
        <f>ROUND(G61*AP61,2)</f>
        <v>0</v>
      </c>
      <c r="AY61" s="79" t="s">
        <v>240</v>
      </c>
      <c r="AZ61" s="79" t="s">
        <v>241</v>
      </c>
      <c r="BA61" s="18" t="s">
        <v>233</v>
      </c>
      <c r="BC61" s="23">
        <f>AW61+AX61</f>
        <v>0</v>
      </c>
      <c r="BD61" s="23">
        <f>H61/(100-BE61)*100</f>
        <v>0</v>
      </c>
      <c r="BE61" s="23">
        <v>0</v>
      </c>
      <c r="BF61" s="23">
        <f>O61</f>
        <v>0</v>
      </c>
      <c r="BH61" s="23">
        <f>G61*AO61</f>
        <v>0</v>
      </c>
      <c r="BI61" s="23">
        <f>G61*AP61</f>
        <v>0</v>
      </c>
      <c r="BJ61" s="23">
        <f>G61*H61</f>
        <v>0</v>
      </c>
      <c r="BK61" s="79" t="s">
        <v>102</v>
      </c>
      <c r="BL61" s="23"/>
      <c r="BW61" s="23">
        <f>I61</f>
        <v>21</v>
      </c>
      <c r="BX61" s="5" t="s">
        <v>111</v>
      </c>
    </row>
    <row r="62" spans="1:76" ht="13.5" customHeight="1" x14ac:dyDescent="0.25">
      <c r="A62" s="80"/>
      <c r="C62" s="25" t="s">
        <v>36</v>
      </c>
      <c r="D62" s="107" t="s">
        <v>107</v>
      </c>
      <c r="E62" s="108"/>
      <c r="F62" s="108"/>
      <c r="G62" s="108"/>
      <c r="H62" s="108"/>
      <c r="I62" s="108"/>
      <c r="J62" s="108"/>
      <c r="K62" s="108"/>
      <c r="L62" s="108"/>
      <c r="M62" s="108"/>
      <c r="N62" s="108"/>
      <c r="O62" s="108"/>
      <c r="P62" s="109"/>
    </row>
    <row r="63" spans="1:76" x14ac:dyDescent="0.25">
      <c r="A63" s="1" t="s">
        <v>244</v>
      </c>
      <c r="B63" s="2" t="s">
        <v>85</v>
      </c>
      <c r="C63" s="2" t="s">
        <v>112</v>
      </c>
      <c r="D63" s="96" t="s">
        <v>113</v>
      </c>
      <c r="E63" s="90"/>
      <c r="F63" s="2" t="s">
        <v>71</v>
      </c>
      <c r="G63" s="23">
        <f>'Rozpočet - vybrané sloupce'!H59</f>
        <v>1</v>
      </c>
      <c r="H63" s="23">
        <f>'Rozpočet - vybrané sloupce'!I59</f>
        <v>0</v>
      </c>
      <c r="I63" s="22">
        <v>21</v>
      </c>
      <c r="J63" s="23">
        <f>ROUND(G63*AO63,2)</f>
        <v>0</v>
      </c>
      <c r="K63" s="23">
        <f>ROUND(G63*AP63,2)</f>
        <v>0</v>
      </c>
      <c r="L63" s="23">
        <f>ROUND(G63*H63,2)</f>
        <v>0</v>
      </c>
      <c r="M63" s="23">
        <f>L63*(1+BW63/100)</f>
        <v>0</v>
      </c>
      <c r="N63" s="23">
        <v>0</v>
      </c>
      <c r="O63" s="23">
        <f>G63*N63</f>
        <v>0</v>
      </c>
      <c r="P63" s="78" t="s">
        <v>27</v>
      </c>
      <c r="Z63" s="23">
        <f>ROUND(IF(AQ63="5",BJ63,0),2)</f>
        <v>0</v>
      </c>
      <c r="AB63" s="23">
        <f>ROUND(IF(AQ63="1",BH63,0),2)</f>
        <v>0</v>
      </c>
      <c r="AC63" s="23">
        <f>ROUND(IF(AQ63="1",BI63,0),2)</f>
        <v>0</v>
      </c>
      <c r="AD63" s="23">
        <f>ROUND(IF(AQ63="7",BH63,0),2)</f>
        <v>0</v>
      </c>
      <c r="AE63" s="23">
        <f>ROUND(IF(AQ63="7",BI63,0),2)</f>
        <v>0</v>
      </c>
      <c r="AF63" s="23">
        <f>ROUND(IF(AQ63="2",BH63,0),2)</f>
        <v>0</v>
      </c>
      <c r="AG63" s="23">
        <f>ROUND(IF(AQ63="2",BI63,0),2)</f>
        <v>0</v>
      </c>
      <c r="AH63" s="23">
        <f>ROUND(IF(AQ63="0",BJ63,0),2)</f>
        <v>0</v>
      </c>
      <c r="AI63" s="18" t="s">
        <v>85</v>
      </c>
      <c r="AJ63" s="23">
        <f>IF(AN63=0,L63,0)</f>
        <v>0</v>
      </c>
      <c r="AK63" s="23">
        <f>IF(AN63=12,L63,0)</f>
        <v>0</v>
      </c>
      <c r="AL63" s="23">
        <f>IF(AN63=21,L63,0)</f>
        <v>0</v>
      </c>
      <c r="AN63" s="23">
        <v>21</v>
      </c>
      <c r="AO63" s="23">
        <f>H63*1</f>
        <v>0</v>
      </c>
      <c r="AP63" s="23">
        <f>H63*(1-1)</f>
        <v>0</v>
      </c>
      <c r="AQ63" s="79" t="s">
        <v>239</v>
      </c>
      <c r="AV63" s="23">
        <f>ROUND(AW63+AX63,2)</f>
        <v>0</v>
      </c>
      <c r="AW63" s="23">
        <f>ROUND(G63*AO63,2)</f>
        <v>0</v>
      </c>
      <c r="AX63" s="23">
        <f>ROUND(G63*AP63,2)</f>
        <v>0</v>
      </c>
      <c r="AY63" s="79" t="s">
        <v>240</v>
      </c>
      <c r="AZ63" s="79" t="s">
        <v>241</v>
      </c>
      <c r="BA63" s="18" t="s">
        <v>233</v>
      </c>
      <c r="BC63" s="23">
        <f>AW63+AX63</f>
        <v>0</v>
      </c>
      <c r="BD63" s="23">
        <f>H63/(100-BE63)*100</f>
        <v>0</v>
      </c>
      <c r="BE63" s="23">
        <v>0</v>
      </c>
      <c r="BF63" s="23">
        <f>O63</f>
        <v>0</v>
      </c>
      <c r="BH63" s="23">
        <f>G63*AO63</f>
        <v>0</v>
      </c>
      <c r="BI63" s="23">
        <f>G63*AP63</f>
        <v>0</v>
      </c>
      <c r="BJ63" s="23">
        <f>G63*H63</f>
        <v>0</v>
      </c>
      <c r="BK63" s="79" t="s">
        <v>102</v>
      </c>
      <c r="BL63" s="23"/>
      <c r="BW63" s="23">
        <f>I63</f>
        <v>21</v>
      </c>
      <c r="BX63" s="5" t="s">
        <v>113</v>
      </c>
    </row>
    <row r="64" spans="1:76" ht="13.5" customHeight="1" x14ac:dyDescent="0.25">
      <c r="A64" s="80"/>
      <c r="C64" s="25" t="s">
        <v>36</v>
      </c>
      <c r="D64" s="107" t="s">
        <v>107</v>
      </c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9"/>
    </row>
    <row r="65" spans="1:76" x14ac:dyDescent="0.25">
      <c r="A65" s="1" t="s">
        <v>87</v>
      </c>
      <c r="B65" s="2" t="s">
        <v>85</v>
      </c>
      <c r="C65" s="2" t="s">
        <v>114</v>
      </c>
      <c r="D65" s="96" t="s">
        <v>115</v>
      </c>
      <c r="E65" s="90"/>
      <c r="F65" s="2" t="s">
        <v>33</v>
      </c>
      <c r="G65" s="23">
        <f>'Rozpočet - vybrané sloupce'!H61</f>
        <v>5</v>
      </c>
      <c r="H65" s="23">
        <f>'Rozpočet - vybrané sloupce'!I61</f>
        <v>0</v>
      </c>
      <c r="I65" s="22">
        <v>21</v>
      </c>
      <c r="J65" s="23">
        <f>ROUND(G65*AO65,2)</f>
        <v>0</v>
      </c>
      <c r="K65" s="23">
        <f>ROUND(G65*AP65,2)</f>
        <v>0</v>
      </c>
      <c r="L65" s="23">
        <f>ROUND(G65*H65,2)</f>
        <v>0</v>
      </c>
      <c r="M65" s="23">
        <f>L65*(1+BW65/100)</f>
        <v>0</v>
      </c>
      <c r="N65" s="23">
        <v>0.04</v>
      </c>
      <c r="O65" s="23">
        <f>G65*N65</f>
        <v>0.2</v>
      </c>
      <c r="P65" s="78" t="s">
        <v>27</v>
      </c>
      <c r="Z65" s="23">
        <f>ROUND(IF(AQ65="5",BJ65,0),2)</f>
        <v>0</v>
      </c>
      <c r="AB65" s="23">
        <f>ROUND(IF(AQ65="1",BH65,0),2)</f>
        <v>0</v>
      </c>
      <c r="AC65" s="23">
        <f>ROUND(IF(AQ65="1",BI65,0),2)</f>
        <v>0</v>
      </c>
      <c r="AD65" s="23">
        <f>ROUND(IF(AQ65="7",BH65,0),2)</f>
        <v>0</v>
      </c>
      <c r="AE65" s="23">
        <f>ROUND(IF(AQ65="7",BI65,0),2)</f>
        <v>0</v>
      </c>
      <c r="AF65" s="23">
        <f>ROUND(IF(AQ65="2",BH65,0),2)</f>
        <v>0</v>
      </c>
      <c r="AG65" s="23">
        <f>ROUND(IF(AQ65="2",BI65,0),2)</f>
        <v>0</v>
      </c>
      <c r="AH65" s="23">
        <f>ROUND(IF(AQ65="0",BJ65,0),2)</f>
        <v>0</v>
      </c>
      <c r="AI65" s="18" t="s">
        <v>85</v>
      </c>
      <c r="AJ65" s="23">
        <f>IF(AN65=0,L65,0)</f>
        <v>0</v>
      </c>
      <c r="AK65" s="23">
        <f>IF(AN65=12,L65,0)</f>
        <v>0</v>
      </c>
      <c r="AL65" s="23">
        <f>IF(AN65=21,L65,0)</f>
        <v>0</v>
      </c>
      <c r="AN65" s="23">
        <v>21</v>
      </c>
      <c r="AO65" s="23">
        <f>H65*1</f>
        <v>0</v>
      </c>
      <c r="AP65" s="23">
        <f>H65*(1-1)</f>
        <v>0</v>
      </c>
      <c r="AQ65" s="79" t="s">
        <v>239</v>
      </c>
      <c r="AV65" s="23">
        <f>ROUND(AW65+AX65,2)</f>
        <v>0</v>
      </c>
      <c r="AW65" s="23">
        <f>ROUND(G65*AO65,2)</f>
        <v>0</v>
      </c>
      <c r="AX65" s="23">
        <f>ROUND(G65*AP65,2)</f>
        <v>0</v>
      </c>
      <c r="AY65" s="79" t="s">
        <v>240</v>
      </c>
      <c r="AZ65" s="79" t="s">
        <v>241</v>
      </c>
      <c r="BA65" s="18" t="s">
        <v>233</v>
      </c>
      <c r="BC65" s="23">
        <f>AW65+AX65</f>
        <v>0</v>
      </c>
      <c r="BD65" s="23">
        <f>H65/(100-BE65)*100</f>
        <v>0</v>
      </c>
      <c r="BE65" s="23">
        <v>0</v>
      </c>
      <c r="BF65" s="23">
        <f>O65</f>
        <v>0.2</v>
      </c>
      <c r="BH65" s="23">
        <f>G65*AO65</f>
        <v>0</v>
      </c>
      <c r="BI65" s="23">
        <f>G65*AP65</f>
        <v>0</v>
      </c>
      <c r="BJ65" s="23">
        <f>G65*H65</f>
        <v>0</v>
      </c>
      <c r="BK65" s="79" t="s">
        <v>102</v>
      </c>
      <c r="BL65" s="23"/>
      <c r="BW65" s="23">
        <f>I65</f>
        <v>21</v>
      </c>
      <c r="BX65" s="5" t="s">
        <v>115</v>
      </c>
    </row>
    <row r="66" spans="1:76" ht="13.5" customHeight="1" x14ac:dyDescent="0.25">
      <c r="A66" s="80"/>
      <c r="C66" s="25" t="s">
        <v>36</v>
      </c>
      <c r="D66" s="107" t="s">
        <v>116</v>
      </c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9"/>
    </row>
    <row r="67" spans="1:76" ht="25.5" x14ac:dyDescent="0.25">
      <c r="A67" s="6" t="s">
        <v>245</v>
      </c>
      <c r="B67" s="7" t="s">
        <v>85</v>
      </c>
      <c r="C67" s="7" t="s">
        <v>117</v>
      </c>
      <c r="D67" s="110" t="s">
        <v>118</v>
      </c>
      <c r="E67" s="93"/>
      <c r="F67" s="7" t="s">
        <v>119</v>
      </c>
      <c r="G67" s="29">
        <f>'Rozpočet - vybrané sloupce'!H63</f>
        <v>2</v>
      </c>
      <c r="H67" s="29">
        <f>'Rozpočet - vybrané sloupce'!I63</f>
        <v>0</v>
      </c>
      <c r="I67" s="28">
        <v>21</v>
      </c>
      <c r="J67" s="29">
        <f>ROUND(G67*AO67,2)</f>
        <v>0</v>
      </c>
      <c r="K67" s="29">
        <f>ROUND(G67*AP67,2)</f>
        <v>0</v>
      </c>
      <c r="L67" s="29">
        <f>ROUND(G67*H67,2)</f>
        <v>0</v>
      </c>
      <c r="M67" s="29">
        <f>L67*(1+BW67/100)</f>
        <v>0</v>
      </c>
      <c r="N67" s="29">
        <v>0</v>
      </c>
      <c r="O67" s="29">
        <f>G67*N67</f>
        <v>0</v>
      </c>
      <c r="P67" s="81" t="s">
        <v>27</v>
      </c>
      <c r="Z67" s="23">
        <f>ROUND(IF(AQ67="5",BJ67,0),2)</f>
        <v>0</v>
      </c>
      <c r="AB67" s="23">
        <f>ROUND(IF(AQ67="1",BH67,0),2)</f>
        <v>0</v>
      </c>
      <c r="AC67" s="23">
        <f>ROUND(IF(AQ67="1",BI67,0),2)</f>
        <v>0</v>
      </c>
      <c r="AD67" s="23">
        <f>ROUND(IF(AQ67="7",BH67,0),2)</f>
        <v>0</v>
      </c>
      <c r="AE67" s="23">
        <f>ROUND(IF(AQ67="7",BI67,0),2)</f>
        <v>0</v>
      </c>
      <c r="AF67" s="23">
        <f>ROUND(IF(AQ67="2",BH67,0),2)</f>
        <v>0</v>
      </c>
      <c r="AG67" s="23">
        <f>ROUND(IF(AQ67="2",BI67,0),2)</f>
        <v>0</v>
      </c>
      <c r="AH67" s="23">
        <f>ROUND(IF(AQ67="0",BJ67,0),2)</f>
        <v>0</v>
      </c>
      <c r="AI67" s="18" t="s">
        <v>85</v>
      </c>
      <c r="AJ67" s="23">
        <f>IF(AN67=0,L67,0)</f>
        <v>0</v>
      </c>
      <c r="AK67" s="23">
        <f>IF(AN67=12,L67,0)</f>
        <v>0</v>
      </c>
      <c r="AL67" s="23">
        <f>IF(AN67=21,L67,0)</f>
        <v>0</v>
      </c>
      <c r="AN67" s="23">
        <v>21</v>
      </c>
      <c r="AO67" s="23">
        <f>H67*1</f>
        <v>0</v>
      </c>
      <c r="AP67" s="23">
        <f>H67*(1-1)</f>
        <v>0</v>
      </c>
      <c r="AQ67" s="79" t="s">
        <v>239</v>
      </c>
      <c r="AV67" s="23">
        <f>ROUND(AW67+AX67,2)</f>
        <v>0</v>
      </c>
      <c r="AW67" s="23">
        <f>ROUND(G67*AO67,2)</f>
        <v>0</v>
      </c>
      <c r="AX67" s="23">
        <f>ROUND(G67*AP67,2)</f>
        <v>0</v>
      </c>
      <c r="AY67" s="79" t="s">
        <v>240</v>
      </c>
      <c r="AZ67" s="79" t="s">
        <v>241</v>
      </c>
      <c r="BA67" s="18" t="s">
        <v>233</v>
      </c>
      <c r="BC67" s="23">
        <f>AW67+AX67</f>
        <v>0</v>
      </c>
      <c r="BD67" s="23">
        <f>H67/(100-BE67)*100</f>
        <v>0</v>
      </c>
      <c r="BE67" s="23">
        <v>0</v>
      </c>
      <c r="BF67" s="23">
        <f>O67</f>
        <v>0</v>
      </c>
      <c r="BH67" s="23">
        <f>G67*AO67</f>
        <v>0</v>
      </c>
      <c r="BI67" s="23">
        <f>G67*AP67</f>
        <v>0</v>
      </c>
      <c r="BJ67" s="23">
        <f>G67*H67</f>
        <v>0</v>
      </c>
      <c r="BK67" s="79" t="s">
        <v>102</v>
      </c>
      <c r="BL67" s="23"/>
      <c r="BW67" s="23">
        <f>I67</f>
        <v>21</v>
      </c>
      <c r="BX67" s="5" t="s">
        <v>118</v>
      </c>
    </row>
    <row r="68" spans="1:76" x14ac:dyDescent="0.25">
      <c r="J68" s="179" t="s">
        <v>120</v>
      </c>
      <c r="K68" s="179"/>
      <c r="L68" s="82">
        <f>ROUND(L13+L17+L20+L23+L26+L30+L33+L37+L40+L46+L51+L53+L56,2)</f>
        <v>0</v>
      </c>
      <c r="M68" s="82">
        <f>ROUND(M13+M17+M20+M23+M26+M30+M33+M37+M40+M46+M51+M53+M56,2)</f>
        <v>0</v>
      </c>
    </row>
    <row r="69" spans="1:76" x14ac:dyDescent="0.25">
      <c r="A69" s="83" t="s">
        <v>36</v>
      </c>
    </row>
    <row r="70" spans="1:76" ht="12.75" customHeight="1" x14ac:dyDescent="0.25">
      <c r="A70" s="96" t="s">
        <v>27</v>
      </c>
      <c r="B70" s="90"/>
      <c r="C70" s="90"/>
      <c r="D70" s="90"/>
      <c r="E70" s="90"/>
      <c r="F70" s="90"/>
      <c r="G70" s="90"/>
      <c r="H70" s="90"/>
      <c r="I70" s="90"/>
      <c r="J70" s="90"/>
      <c r="K70" s="90"/>
      <c r="L70" s="90"/>
      <c r="M70" s="90"/>
      <c r="N70" s="90"/>
      <c r="O70" s="90"/>
      <c r="P70" s="90"/>
    </row>
  </sheetData>
  <mergeCells count="87">
    <mergeCell ref="A70:P70"/>
    <mergeCell ref="D64:P64"/>
    <mergeCell ref="D65:E65"/>
    <mergeCell ref="D66:P66"/>
    <mergeCell ref="D67:E67"/>
    <mergeCell ref="J68:K68"/>
    <mergeCell ref="D59:E59"/>
    <mergeCell ref="D60:P60"/>
    <mergeCell ref="D61:E61"/>
    <mergeCell ref="D62:P62"/>
    <mergeCell ref="D63:E63"/>
    <mergeCell ref="D54:E54"/>
    <mergeCell ref="D55:P55"/>
    <mergeCell ref="D56:E56"/>
    <mergeCell ref="D57:E57"/>
    <mergeCell ref="D58:P58"/>
    <mergeCell ref="D49:E49"/>
    <mergeCell ref="D50:P50"/>
    <mergeCell ref="D51:E51"/>
    <mergeCell ref="D52:E52"/>
    <mergeCell ref="D53:E53"/>
    <mergeCell ref="D44:P44"/>
    <mergeCell ref="D45:E45"/>
    <mergeCell ref="D46:E46"/>
    <mergeCell ref="D47:E47"/>
    <mergeCell ref="D48:P48"/>
    <mergeCell ref="D39:P39"/>
    <mergeCell ref="D40:E40"/>
    <mergeCell ref="D41:E41"/>
    <mergeCell ref="D42:P42"/>
    <mergeCell ref="D43:P43"/>
    <mergeCell ref="D34:E34"/>
    <mergeCell ref="D35:P35"/>
    <mergeCell ref="D36:P36"/>
    <mergeCell ref="D37:E37"/>
    <mergeCell ref="D38:E38"/>
    <mergeCell ref="D29:P29"/>
    <mergeCell ref="D30:E30"/>
    <mergeCell ref="D31:E31"/>
    <mergeCell ref="D32:P32"/>
    <mergeCell ref="D33:E33"/>
    <mergeCell ref="D24:E24"/>
    <mergeCell ref="D25:P25"/>
    <mergeCell ref="D26:E26"/>
    <mergeCell ref="D27:E27"/>
    <mergeCell ref="D28:P28"/>
    <mergeCell ref="D19:P19"/>
    <mergeCell ref="D20:E20"/>
    <mergeCell ref="D21:E21"/>
    <mergeCell ref="D22:P22"/>
    <mergeCell ref="D23:E23"/>
    <mergeCell ref="D14:E14"/>
    <mergeCell ref="D15:P15"/>
    <mergeCell ref="D16:P16"/>
    <mergeCell ref="D17:E17"/>
    <mergeCell ref="D18:E18"/>
    <mergeCell ref="D11:E11"/>
    <mergeCell ref="J10:L10"/>
    <mergeCell ref="N10:O10"/>
    <mergeCell ref="D12:E12"/>
    <mergeCell ref="D13:E13"/>
    <mergeCell ref="J2:P3"/>
    <mergeCell ref="J4:P5"/>
    <mergeCell ref="J6:P7"/>
    <mergeCell ref="J8:P9"/>
    <mergeCell ref="D10:E10"/>
    <mergeCell ref="D8:E9"/>
    <mergeCell ref="H2:H3"/>
    <mergeCell ref="H4:H5"/>
    <mergeCell ref="H6:H7"/>
    <mergeCell ref="H8:H9"/>
    <mergeCell ref="A1:P1"/>
    <mergeCell ref="A2:C3"/>
    <mergeCell ref="A4:C5"/>
    <mergeCell ref="A6:C7"/>
    <mergeCell ref="A8:C9"/>
    <mergeCell ref="F2:G3"/>
    <mergeCell ref="F4:G5"/>
    <mergeCell ref="F6:G7"/>
    <mergeCell ref="F8:G9"/>
    <mergeCell ref="I2:I3"/>
    <mergeCell ref="I4:I5"/>
    <mergeCell ref="I6:I7"/>
    <mergeCell ref="I8:I9"/>
    <mergeCell ref="D2:E3"/>
    <mergeCell ref="D4:E5"/>
    <mergeCell ref="D6:E7"/>
  </mergeCells>
  <pageMargins left="0.393999993801117" right="0.393999993801117" top="0.59100002050399802" bottom="0.59100002050399802" header="0" footer="0"/>
  <pageSetup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Rozpočet - vybrané sloupce</vt:lpstr>
      <vt:lpstr>Krycí list rozpočtu</vt:lpstr>
      <vt:lpstr>VORN</vt:lpstr>
      <vt:lpstr>Stavební rozpočet</vt:lpstr>
      <vt:lpstr>vorn_sum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uzivatel</cp:lastModifiedBy>
  <dcterms:created xsi:type="dcterms:W3CDTF">2021-06-10T20:06:38Z</dcterms:created>
  <dcterms:modified xsi:type="dcterms:W3CDTF">2025-09-19T08:54:46Z</dcterms:modified>
</cp:coreProperties>
</file>